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activeTab="0"/>
  </bookViews>
  <sheets>
    <sheet name="Introduction" sheetId="1" r:id="rId1"/>
    <sheet name="Help" sheetId="2" r:id="rId2"/>
    <sheet name="Inputs" sheetId="3" r:id="rId3"/>
    <sheet name="Summary" sheetId="4" r:id="rId4"/>
    <sheet name="Performance Certificate" sheetId="5" r:id="rId5"/>
    <sheet name="Version" sheetId="6" r:id="rId6"/>
    <sheet name="Fixed Data" sheetId="7" state="hidden" r:id="rId7"/>
  </sheets>
  <definedNames>
    <definedName name="AUP">'Inputs'!$F$112</definedName>
    <definedName name="bar" localSheetId="6">'Summary'!#REF!</definedName>
    <definedName name="diameter">'Fixed Data'!$F$2:$F$3</definedName>
    <definedName name="Emission_Factor">'Inputs'!$F$114</definedName>
    <definedName name="flow_rate">'Fixed Data'!$D$2:$D$3</definedName>
    <definedName name="Friction">'Fixed Data'!$E$2:$E$3</definedName>
    <definedName name="g">'Fixed Data'!$C$7</definedName>
    <definedName name="m_head_per_km_pipe">'Fixed Data'!$E$2:$E$3</definedName>
    <definedName name="Pressure">'Fixed Data'!$C$2:$C$4</definedName>
    <definedName name="_xlnm.Print_Area" localSheetId="1">'Help'!$A$1:$H$65</definedName>
    <definedName name="_xlnm.Print_Area" localSheetId="2">'Inputs'!$B$2:$J$134</definedName>
    <definedName name="_xlnm.Print_Area" localSheetId="4">'Performance Certificate'!$B$2:$L$54</definedName>
    <definedName name="_xlnm.Print_Area" localSheetId="3">'Summary'!$A$2:$I$55</definedName>
  </definedNames>
  <calcPr fullCalcOnLoad="1"/>
</workbook>
</file>

<file path=xl/sharedStrings.xml><?xml version="1.0" encoding="utf-8"?>
<sst xmlns="http://schemas.openxmlformats.org/spreadsheetml/2006/main" count="445" uniqueCount="304">
  <si>
    <t>kW</t>
  </si>
  <si>
    <t>Motor Shaft Power</t>
  </si>
  <si>
    <t>bar</t>
  </si>
  <si>
    <t>m/s</t>
  </si>
  <si>
    <t>m of head</t>
  </si>
  <si>
    <t>Conversion Factors</t>
  </si>
  <si>
    <t>Electricity consumption p.a</t>
  </si>
  <si>
    <t>kWh</t>
  </si>
  <si>
    <t>€/kWh</t>
  </si>
  <si>
    <t>Electricity cost p.a</t>
  </si>
  <si>
    <t>Parameter</t>
  </si>
  <si>
    <t>Value</t>
  </si>
  <si>
    <t>g (Acceleration due to gravity)</t>
  </si>
  <si>
    <t>Fluid Density</t>
  </si>
  <si>
    <t>Drop down menu selections</t>
  </si>
  <si>
    <t>psi</t>
  </si>
  <si>
    <t>Hydraulic power friction (m hd)</t>
  </si>
  <si>
    <t>Hydraulic power friction (bar)</t>
  </si>
  <si>
    <t>Hydraulic power friction (psi)</t>
  </si>
  <si>
    <t xml:space="preserve">Voltage </t>
  </si>
  <si>
    <t>Current</t>
  </si>
  <si>
    <t>V</t>
  </si>
  <si>
    <t>A</t>
  </si>
  <si>
    <t>kVA</t>
  </si>
  <si>
    <t>Motor Efficiency</t>
  </si>
  <si>
    <t>= Pump Shaft Power</t>
  </si>
  <si>
    <t>CO2 Emission Factor (Electricity)</t>
  </si>
  <si>
    <t>kgCO2/kWh</t>
  </si>
  <si>
    <t>Hydraulic power static discharge(m hd)</t>
  </si>
  <si>
    <t>Hydraulic power static discharge (bar)</t>
  </si>
  <si>
    <t>Hydraulic power static discharge (psi)</t>
  </si>
  <si>
    <t>Hydraulic power static suction (m hd)</t>
  </si>
  <si>
    <t>Hydraulic power static suction (bar)</t>
  </si>
  <si>
    <t>Hydraulic power static suction (psi)</t>
  </si>
  <si>
    <t>Electrical Power Consumed</t>
  </si>
  <si>
    <t>or</t>
  </si>
  <si>
    <t>Actual Motor Power Consumption</t>
  </si>
  <si>
    <t>From measurement (meter)</t>
  </si>
  <si>
    <r>
      <t>kg/m</t>
    </r>
    <r>
      <rPr>
        <vertAlign val="superscript"/>
        <sz val="10"/>
        <color indexed="8"/>
        <rFont val="Calibri"/>
        <family val="2"/>
      </rPr>
      <t>3</t>
    </r>
  </si>
  <si>
    <t>If VSD, then = 1 | Non-VSD Maximum = 0.83 | Non-VSD Typical Full Load = 0.78-0.81 | Non-VSD Typical Half Load = 0.70</t>
  </si>
  <si>
    <t>Electricity Average Unit Price</t>
  </si>
  <si>
    <t>Pump Discharge Flow Rate</t>
  </si>
  <si>
    <t>Pump Discharge Pressure</t>
  </si>
  <si>
    <r>
      <t>kWh/m</t>
    </r>
    <r>
      <rPr>
        <vertAlign val="superscript"/>
        <sz val="10"/>
        <rFont val="Calibri"/>
        <family val="2"/>
      </rPr>
      <t>3</t>
    </r>
  </si>
  <si>
    <t>Pump Hydraulic Efficiency</t>
  </si>
  <si>
    <t>Pump Hydraulic Power Output</t>
  </si>
  <si>
    <t>Static Discharge Head</t>
  </si>
  <si>
    <t>Static Suction Head</t>
  </si>
  <si>
    <t>From drawings: vertical distance from centreline of pump to surface of delivery reservoir / vessel</t>
  </si>
  <si>
    <t>Friction Losses</t>
  </si>
  <si>
    <t>"Piping" Efficiency</t>
  </si>
  <si>
    <t>Overall System Efficiency</t>
  </si>
  <si>
    <t>Motor Loss</t>
  </si>
  <si>
    <t>Pumping Loss</t>
  </si>
  <si>
    <t>Friction Loss</t>
  </si>
  <si>
    <t>Total Losses</t>
  </si>
  <si>
    <t>Actual</t>
  </si>
  <si>
    <t>Best Practice</t>
  </si>
  <si>
    <t>Actual %</t>
  </si>
  <si>
    <t>Best Practice %</t>
  </si>
  <si>
    <t>Annual Electricity Cost:</t>
  </si>
  <si>
    <t>Annual Electricity Consumption:</t>
  </si>
  <si>
    <t>Pump Discharge Pressure (m hd)</t>
  </si>
  <si>
    <t>Pump Discharge Pressure (bar)</t>
  </si>
  <si>
    <t>Pump Discharge Pressure (psi)</t>
  </si>
  <si>
    <t>m hd</t>
  </si>
  <si>
    <t>g/h</t>
  </si>
  <si>
    <r>
      <t>m</t>
    </r>
    <r>
      <rPr>
        <b/>
        <vertAlign val="superscript"/>
        <sz val="10"/>
        <rFont val="Calibri"/>
        <family val="2"/>
      </rPr>
      <t>3</t>
    </r>
    <r>
      <rPr>
        <b/>
        <sz val="11"/>
        <rFont val="Calibri"/>
        <family val="2"/>
      </rPr>
      <t>/h</t>
    </r>
  </si>
  <si>
    <t>m3/h</t>
  </si>
  <si>
    <t>2007 SEI Average Generation Mix = 0.625 kgCO2/kWh</t>
  </si>
  <si>
    <t xml:space="preserve">Pump discharge m hd </t>
  </si>
  <si>
    <t>kgCO2</t>
  </si>
  <si>
    <t>Overall Efficiency</t>
  </si>
  <si>
    <t>km</t>
  </si>
  <si>
    <t>Efficiencies</t>
  </si>
  <si>
    <t>Useful work done</t>
  </si>
  <si>
    <r>
      <t>kWh/1,000m</t>
    </r>
    <r>
      <rPr>
        <b/>
        <vertAlign val="superscript"/>
        <sz val="10"/>
        <rFont val="Calibri"/>
        <family val="2"/>
      </rPr>
      <t>3</t>
    </r>
    <r>
      <rPr>
        <b/>
        <sz val="10"/>
        <rFont val="Calibri"/>
        <family val="2"/>
      </rPr>
      <t>/m</t>
    </r>
  </si>
  <si>
    <r>
      <t>€/m</t>
    </r>
    <r>
      <rPr>
        <b/>
        <vertAlign val="superscript"/>
        <sz val="10"/>
        <rFont val="Calibri"/>
        <family val="2"/>
      </rPr>
      <t>3</t>
    </r>
  </si>
  <si>
    <r>
      <t>kgCO</t>
    </r>
    <r>
      <rPr>
        <b/>
        <vertAlign val="subscript"/>
        <sz val="10"/>
        <rFont val="Calibri"/>
        <family val="2"/>
      </rPr>
      <t>2</t>
    </r>
    <r>
      <rPr>
        <b/>
        <sz val="10"/>
        <rFont val="Calibri"/>
        <family val="2"/>
      </rPr>
      <t>/m</t>
    </r>
    <r>
      <rPr>
        <b/>
        <vertAlign val="superscript"/>
        <sz val="10"/>
        <rFont val="Calibri"/>
        <family val="2"/>
      </rPr>
      <t>3</t>
    </r>
  </si>
  <si>
    <t>Pump Efficiency</t>
  </si>
  <si>
    <t>Motor Losses</t>
  </si>
  <si>
    <t>Pumping Losses</t>
  </si>
  <si>
    <r>
      <t>€/1,000m</t>
    </r>
    <r>
      <rPr>
        <b/>
        <vertAlign val="superscript"/>
        <sz val="10"/>
        <rFont val="Calibri"/>
        <family val="2"/>
      </rPr>
      <t>3</t>
    </r>
    <r>
      <rPr>
        <b/>
        <sz val="10"/>
        <rFont val="Calibri"/>
        <family val="2"/>
      </rPr>
      <t>/m</t>
    </r>
  </si>
  <si>
    <t>Operating hours per annum</t>
  </si>
  <si>
    <r>
      <t xml:space="preserve">Pump Hydraulic Efficiency η </t>
    </r>
    <r>
      <rPr>
        <b/>
        <vertAlign val="subscript"/>
        <sz val="10"/>
        <color indexed="8"/>
        <rFont val="Calibri"/>
        <family val="2"/>
      </rPr>
      <t>Pump</t>
    </r>
  </si>
  <si>
    <r>
      <t>kWh/1,000m</t>
    </r>
    <r>
      <rPr>
        <b/>
        <vertAlign val="superscript"/>
        <sz val="10"/>
        <color indexed="8"/>
        <rFont val="Calibri"/>
        <family val="2"/>
      </rPr>
      <t>3</t>
    </r>
    <r>
      <rPr>
        <b/>
        <sz val="10"/>
        <color indexed="8"/>
        <rFont val="Calibri"/>
        <family val="2"/>
      </rPr>
      <t>/m</t>
    </r>
  </si>
  <si>
    <r>
      <t>KWh/m</t>
    </r>
    <r>
      <rPr>
        <vertAlign val="superscript"/>
        <sz val="10"/>
        <color indexed="8"/>
        <rFont val="Calibri"/>
        <family val="2"/>
      </rPr>
      <t>3</t>
    </r>
  </si>
  <si>
    <t>Rated Motor Power</t>
  </si>
  <si>
    <t>From manufacturer's data sheets (try www search for motor type)</t>
  </si>
  <si>
    <t>and</t>
  </si>
  <si>
    <t>MOTOR</t>
  </si>
  <si>
    <t>PUMP</t>
  </si>
  <si>
    <r>
      <t xml:space="preserve">Power factor  (cos </t>
    </r>
    <r>
      <rPr>
        <b/>
        <sz val="10"/>
        <color indexed="8"/>
        <rFont val="GreekS"/>
        <family val="0"/>
      </rPr>
      <t>ѱ</t>
    </r>
    <r>
      <rPr>
        <b/>
        <sz val="10"/>
        <color indexed="8"/>
        <rFont val="Calibri"/>
        <family val="2"/>
      </rPr>
      <t>)</t>
    </r>
  </si>
  <si>
    <r>
      <t xml:space="preserve">Motor Efficiency </t>
    </r>
    <r>
      <rPr>
        <b/>
        <sz val="10"/>
        <color indexed="8"/>
        <rFont val="Calibri"/>
        <family val="2"/>
      </rPr>
      <t xml:space="preserve">η </t>
    </r>
    <r>
      <rPr>
        <b/>
        <vertAlign val="subscript"/>
        <sz val="10"/>
        <color indexed="8"/>
        <rFont val="Calibri"/>
        <family val="2"/>
      </rPr>
      <t>Motor</t>
    </r>
  </si>
  <si>
    <t>BEST PRACTICE VALUES</t>
  </si>
  <si>
    <t>Full Load Efficiency from EuroDEEM (click here) for motor of your size (or use the benchmark motor)</t>
  </si>
  <si>
    <t>Use ~85% value or download PSAT (click here) for typical achievable values</t>
  </si>
  <si>
    <t>From drawings: vertical distance from surface of source reservoir / borehole / vessel to centreline of pump  |  +ve if source below pump  |  -ve if source above pump</t>
  </si>
  <si>
    <t>OTHER PARAMETERS</t>
  </si>
  <si>
    <t>:</t>
  </si>
  <si>
    <t>Pump Efficiency Calculation Tool</t>
  </si>
  <si>
    <t xml:space="preserve"> - Inputs</t>
  </si>
  <si>
    <t>Location</t>
  </si>
  <si>
    <t>MPRN</t>
  </si>
  <si>
    <t>Date</t>
  </si>
  <si>
    <t>Pump / Pump Station</t>
  </si>
  <si>
    <t>This section calculates the efficiency of the motor that drives the pump.  You can enter the motor power from the nameplate data or from measurement (meter)</t>
  </si>
  <si>
    <t>These values are only used to compare your pump's performance with Best Practice. They are not required to calculate your pump's performance / efficiency.</t>
  </si>
  <si>
    <t>Enter from nameplate, if rated in Horsepower, use 1 HP = 0.746 kW</t>
  </si>
  <si>
    <t>These parameters should be relatively straightforward to enter.</t>
  </si>
  <si>
    <r>
      <t>Water = 1,000 kg/m</t>
    </r>
    <r>
      <rPr>
        <vertAlign val="superscript"/>
        <sz val="10"/>
        <color indexed="21"/>
        <rFont val="Calibri"/>
        <family val="2"/>
      </rPr>
      <t>3</t>
    </r>
    <r>
      <rPr>
        <sz val="10"/>
        <color indexed="21"/>
        <rFont val="Calibri"/>
        <family val="2"/>
      </rPr>
      <t xml:space="preserve"> | Medium strength wastewater ~ 1,030 kg/m</t>
    </r>
    <r>
      <rPr>
        <vertAlign val="superscript"/>
        <sz val="10"/>
        <color indexed="21"/>
        <rFont val="Calibri"/>
        <family val="2"/>
      </rPr>
      <t>3</t>
    </r>
  </si>
  <si>
    <t>If not available, use lowest efficiency from EuroDEEM database less 2%.  (Click here to download EuroDEEM software for free)</t>
  </si>
  <si>
    <t xml:space="preserve"> - Performance Summary</t>
  </si>
  <si>
    <r>
      <t>m</t>
    </r>
    <r>
      <rPr>
        <vertAlign val="superscript"/>
        <sz val="10"/>
        <color indexed="8"/>
        <rFont val="Calibri"/>
        <family val="2"/>
      </rPr>
      <t>3</t>
    </r>
  </si>
  <si>
    <r>
      <t>kWh/1,000m</t>
    </r>
    <r>
      <rPr>
        <vertAlign val="superscript"/>
        <sz val="10"/>
        <color indexed="8"/>
        <rFont val="Calibri"/>
        <family val="2"/>
      </rPr>
      <t>3</t>
    </r>
    <r>
      <rPr>
        <sz val="10"/>
        <color indexed="8"/>
        <rFont val="Calibri"/>
        <family val="2"/>
      </rPr>
      <t>/m</t>
    </r>
  </si>
  <si>
    <r>
      <t>€/m</t>
    </r>
    <r>
      <rPr>
        <vertAlign val="superscript"/>
        <sz val="10"/>
        <color indexed="8"/>
        <rFont val="Calibri"/>
        <family val="2"/>
      </rPr>
      <t>3</t>
    </r>
  </si>
  <si>
    <r>
      <t>€/1,000m</t>
    </r>
    <r>
      <rPr>
        <vertAlign val="superscript"/>
        <sz val="10"/>
        <color indexed="8"/>
        <rFont val="Calibri"/>
        <family val="2"/>
      </rPr>
      <t>3</t>
    </r>
    <r>
      <rPr>
        <sz val="10"/>
        <color indexed="8"/>
        <rFont val="Calibri"/>
        <family val="2"/>
      </rPr>
      <t>/m</t>
    </r>
  </si>
  <si>
    <r>
      <t>kgCO</t>
    </r>
    <r>
      <rPr>
        <vertAlign val="subscript"/>
        <sz val="10"/>
        <color indexed="8"/>
        <rFont val="Calibri"/>
        <family val="2"/>
      </rPr>
      <t>2</t>
    </r>
    <r>
      <rPr>
        <sz val="10"/>
        <color indexed="8"/>
        <rFont val="Calibri"/>
        <family val="2"/>
      </rPr>
      <t>/m</t>
    </r>
    <r>
      <rPr>
        <vertAlign val="superscript"/>
        <sz val="10"/>
        <color indexed="8"/>
        <rFont val="Calibri"/>
        <family val="2"/>
      </rPr>
      <t>3</t>
    </r>
  </si>
  <si>
    <t>Site Name</t>
  </si>
  <si>
    <t>Date of Issue</t>
  </si>
  <si>
    <t>Valid Until</t>
  </si>
  <si>
    <t>Version</t>
  </si>
  <si>
    <t>Description of Modification(s)</t>
  </si>
  <si>
    <t>Additional Comments</t>
  </si>
  <si>
    <t>- Performance Certificate</t>
  </si>
  <si>
    <t>Volume of fluid displaced p.a</t>
  </si>
  <si>
    <r>
      <t>Actual kWh</t>
    </r>
    <r>
      <rPr>
        <b/>
        <vertAlign val="subscript"/>
        <sz val="10"/>
        <color indexed="8"/>
        <rFont val="Calibri"/>
        <family val="2"/>
      </rPr>
      <t xml:space="preserve">E
</t>
    </r>
    <r>
      <rPr>
        <b/>
        <sz val="10"/>
        <color indexed="8"/>
        <rFont val="Calibri"/>
        <family val="2"/>
      </rPr>
      <t>per annum</t>
    </r>
  </si>
  <si>
    <t>Actual Cost
per annum</t>
  </si>
  <si>
    <t>EFFICIENCIES</t>
  </si>
  <si>
    <t>ENERGY SUMMARY</t>
  </si>
  <si>
    <t>ENERGY LOSSES</t>
  </si>
  <si>
    <t>ENERGY PERFORMANCE INDICATORS (EPIs)</t>
  </si>
  <si>
    <t>PERFORMANCE CLASSIFICATION</t>
  </si>
  <si>
    <t>EPIs</t>
  </si>
  <si>
    <r>
      <t>CONSUMPTION, COST &amp; CO</t>
    </r>
    <r>
      <rPr>
        <b/>
        <vertAlign val="subscript"/>
        <sz val="11"/>
        <color indexed="9"/>
        <rFont val="Calibri"/>
        <family val="2"/>
      </rPr>
      <t>2</t>
    </r>
    <r>
      <rPr>
        <b/>
        <sz val="11"/>
        <color indexed="9"/>
        <rFont val="Calibri"/>
        <family val="2"/>
      </rPr>
      <t xml:space="preserve"> EMISSIONS</t>
    </r>
  </si>
  <si>
    <t>BEST PRACTICE &amp; LOSSES</t>
  </si>
  <si>
    <t>Issued to WS Working Group for Review &amp; Comment</t>
  </si>
  <si>
    <r>
      <t>kgCO</t>
    </r>
    <r>
      <rPr>
        <b/>
        <vertAlign val="subscript"/>
        <sz val="10"/>
        <color indexed="8"/>
        <rFont val="Calibri"/>
        <family val="2"/>
      </rPr>
      <t>2</t>
    </r>
    <r>
      <rPr>
        <b/>
        <sz val="10"/>
        <color indexed="8"/>
        <rFont val="Calibri"/>
        <family val="2"/>
      </rPr>
      <t xml:space="preserve"> Emitted p.a</t>
    </r>
  </si>
  <si>
    <r>
      <t>kgCO</t>
    </r>
    <r>
      <rPr>
        <b/>
        <vertAlign val="subscript"/>
        <sz val="10"/>
        <color indexed="8"/>
        <rFont val="Calibri"/>
        <family val="2"/>
      </rPr>
      <t>2</t>
    </r>
    <r>
      <rPr>
        <b/>
        <sz val="10"/>
        <color indexed="8"/>
        <rFont val="Calibri"/>
        <family val="2"/>
      </rPr>
      <t>/1,000m</t>
    </r>
    <r>
      <rPr>
        <vertAlign val="superscript"/>
        <sz val="10"/>
        <color indexed="8"/>
        <rFont val="Calibri"/>
        <family val="2"/>
      </rPr>
      <t>3</t>
    </r>
    <r>
      <rPr>
        <sz val="10"/>
        <color indexed="8"/>
        <rFont val="Calibri"/>
        <family val="2"/>
      </rPr>
      <t>/m</t>
    </r>
  </si>
  <si>
    <r>
      <t>kgCO</t>
    </r>
    <r>
      <rPr>
        <b/>
        <vertAlign val="subscript"/>
        <sz val="10"/>
        <rFont val="Calibri"/>
        <family val="2"/>
      </rPr>
      <t>2</t>
    </r>
    <r>
      <rPr>
        <b/>
        <sz val="10"/>
        <rFont val="Calibri"/>
        <family val="2"/>
      </rPr>
      <t>/1,000m</t>
    </r>
    <r>
      <rPr>
        <b/>
        <vertAlign val="superscript"/>
        <sz val="10"/>
        <rFont val="Calibri"/>
        <family val="2"/>
      </rPr>
      <t>3</t>
    </r>
    <r>
      <rPr>
        <b/>
        <sz val="10"/>
        <rFont val="Calibri"/>
        <family val="2"/>
      </rPr>
      <t>/m</t>
    </r>
  </si>
  <si>
    <r>
      <t>Annual CO</t>
    </r>
    <r>
      <rPr>
        <b/>
        <vertAlign val="subscript"/>
        <sz val="10"/>
        <rFont val="Calibri"/>
        <family val="2"/>
      </rPr>
      <t>2</t>
    </r>
    <r>
      <rPr>
        <b/>
        <sz val="10"/>
        <rFont val="Calibri"/>
        <family val="2"/>
      </rPr>
      <t xml:space="preserve"> Emissions:</t>
    </r>
  </si>
  <si>
    <r>
      <t>kgCO</t>
    </r>
    <r>
      <rPr>
        <vertAlign val="subscript"/>
        <sz val="10"/>
        <color indexed="8"/>
        <rFont val="Calibri"/>
        <family val="2"/>
      </rPr>
      <t>2</t>
    </r>
  </si>
  <si>
    <t>This tool calculates the energy efficiency and energy performance of water (&amp; waste-water) pumping facilities.</t>
  </si>
  <si>
    <r>
      <rPr>
        <b/>
        <u val="single"/>
        <sz val="10"/>
        <color indexed="8"/>
        <rFont val="Calibri"/>
        <family val="2"/>
      </rPr>
      <t>Main Outputs:</t>
    </r>
    <r>
      <rPr>
        <sz val="10"/>
        <color indexed="8"/>
        <rFont val="Calibri"/>
        <family val="2"/>
      </rPr>
      <t xml:space="preserve">
- Motor, Pumping (Hydraulic) &amp; System energy efficiencies
- Motor, Pumping &amp; Piping Losses
- Total Energy Consumption &amp; Energy Cost
- CO</t>
    </r>
    <r>
      <rPr>
        <vertAlign val="subscript"/>
        <sz val="10"/>
        <color indexed="8"/>
        <rFont val="Calibri"/>
        <family val="2"/>
      </rPr>
      <t>2</t>
    </r>
    <r>
      <rPr>
        <sz val="10"/>
        <color indexed="8"/>
        <rFont val="Calibri"/>
        <family val="2"/>
      </rPr>
      <t xml:space="preserve"> Emissions
- Energy Performance Indicators
- Comparison of Actual Performance v/s Best Practice
Performance Certificate</t>
    </r>
  </si>
  <si>
    <t>For an 18" concrete pipe losses range from 0.4 - 1.3m head per km for flow of ~250-450 m3/hour (~20%-30% less for plastic pipe).  Online pressure calculator available from Pressure-Drop.com (click here &amp; then click Pressure Drop Online Calculator).</t>
  </si>
  <si>
    <t>m hd per km of pipe</t>
  </si>
  <si>
    <t>bar per km of pipe</t>
  </si>
  <si>
    <t>hours/year</t>
  </si>
  <si>
    <t>Operating Hours pa</t>
  </si>
  <si>
    <t>ENTER DATA IN THESE CELLS ONLY</t>
  </si>
  <si>
    <t>Improved formatting
Inclusion of TEA &amp; MEA logos
Relocation of Power Factor row</t>
  </si>
  <si>
    <t>Issued to PK (TEA) for review &amp; comment</t>
  </si>
  <si>
    <r>
      <rPr>
        <b/>
        <u val="single"/>
        <sz val="10"/>
        <color indexed="8"/>
        <rFont val="Calibri"/>
        <family val="2"/>
      </rPr>
      <t>Main Inputs:</t>
    </r>
    <r>
      <rPr>
        <sz val="10"/>
        <color indexed="8"/>
        <rFont val="Calibri"/>
        <family val="2"/>
      </rPr>
      <t xml:space="preserve">
- Electrical energy consumption (measured or nameplate)
- Run hours
- Static head (from drawings)
- Discharges pressure (from pressure gauge)
- Flow rate (from flow meter or estimate)
- Average unit price (electricity)</t>
    </r>
  </si>
  <si>
    <t>This section calculates the hydraulic efficiency of the pump and the losses in the system pipework.  You need to enter the static head (from drawings or estimates),the pump discharge pressure (from pressure gauge) and the flow rate (from a flowmeter or estimate).</t>
  </si>
  <si>
    <t>From measurement (pressure gauge) @ pump discharge flange</t>
  </si>
  <si>
    <t xml:space="preserve"> - Help</t>
  </si>
  <si>
    <t>Row 6</t>
  </si>
  <si>
    <t>A Meter Point Reference Number (MPRN) is a unique 11 digit number assigned to every single electricity connection and meter in the country.  The MPRN is very important because it allows ESB Networks to track exactly where each connection on the electricity network is located (no matter who the electricity supplier is).  Your MPRN number is prominently displayed on the electricity bills you receive from your Supplier.  If you cannot find your MPRN number, contact your electricity supplier who will be able to check it for you.</t>
  </si>
  <si>
    <t>Name of the pump unit or pump station being analysed with this tool.  Be specific: it should be clear exactly which pump system is being investigated.</t>
  </si>
  <si>
    <t>This tool calculates the energy efficiency and energy performance of water (&amp; waste-water) pumping facilities.  The following Help section explains some of the Inputs, Calculations and Outputs in this tool.  The Help is broken down by worksheet and can be cross referenced by row number.</t>
  </si>
  <si>
    <t>Inputs Worksheet</t>
  </si>
  <si>
    <t>Rows 14-45</t>
  </si>
  <si>
    <t>Motor Power</t>
  </si>
  <si>
    <t>Row 17</t>
  </si>
  <si>
    <t>Row 23</t>
  </si>
  <si>
    <t>Row 29</t>
  </si>
  <si>
    <t>Row 31</t>
  </si>
  <si>
    <t>Row 33</t>
  </si>
  <si>
    <t>Row 35</t>
  </si>
  <si>
    <t>Row 43</t>
  </si>
  <si>
    <t>Row 45</t>
  </si>
  <si>
    <t>See Help worksheet for additional explanation and instructions</t>
  </si>
  <si>
    <t>Row 51</t>
  </si>
  <si>
    <t>Row  53</t>
  </si>
  <si>
    <t>Row 55</t>
  </si>
  <si>
    <t>Row 57</t>
  </si>
  <si>
    <t>Electricity Average Unit Price (AUP)</t>
  </si>
  <si>
    <t>Length of pipe</t>
  </si>
  <si>
    <t xml:space="preserve">Best Practice: Motor Efficiency </t>
  </si>
  <si>
    <t xml:space="preserve">Best Practice: Pump Hydraulic Efficiency </t>
  </si>
  <si>
    <t>Best Practice: Design Friction Losses</t>
  </si>
  <si>
    <t>Summary Worksheet</t>
  </si>
  <si>
    <t>Row 10</t>
  </si>
  <si>
    <t>Row 16</t>
  </si>
  <si>
    <t xml:space="preserve">Row 21 </t>
  </si>
  <si>
    <t>Row 27</t>
  </si>
  <si>
    <t>kgCO2 Emitted p.a</t>
  </si>
  <si>
    <t xml:space="preserve">Row 35 </t>
  </si>
  <si>
    <t>Row 25</t>
  </si>
  <si>
    <t>Motor Loss (%) = 1 - Motor Efficiency (%)</t>
  </si>
  <si>
    <t>Row 37</t>
  </si>
  <si>
    <t>Pumping Loss (%) = 1 - Pump Efficency (%)</t>
  </si>
  <si>
    <t>Row 39</t>
  </si>
  <si>
    <t>Friction Loss (%) = 1 - "Piping" Efficiency (%)</t>
  </si>
  <si>
    <t>Row 41</t>
  </si>
  <si>
    <t>Total Losses (%) = Motor Loss (%) + Pumping Loss (%)  + Friction Loss (%)</t>
  </si>
  <si>
    <t>Useful Work Done</t>
  </si>
  <si>
    <t>Useful Work Done (%) = Overall Efficiency (%)</t>
  </si>
  <si>
    <t>Performance Certificate</t>
  </si>
  <si>
    <t>Motor Voltage</t>
  </si>
  <si>
    <t>Row 116</t>
  </si>
  <si>
    <t>Row 118</t>
  </si>
  <si>
    <t>Row 120</t>
  </si>
  <si>
    <r>
      <t>kWh/1,000m</t>
    </r>
    <r>
      <rPr>
        <vertAlign val="superscript"/>
        <sz val="10"/>
        <rFont val="Calibri"/>
        <family val="2"/>
      </rPr>
      <t>3</t>
    </r>
    <r>
      <rPr>
        <sz val="10"/>
        <rFont val="Calibri"/>
        <family val="2"/>
      </rPr>
      <t>/m</t>
    </r>
  </si>
  <si>
    <t>Motor Current</t>
  </si>
  <si>
    <t>Power Factor (cos ѱ)</t>
  </si>
  <si>
    <t xml:space="preserve">Fluid Density </t>
  </si>
  <si>
    <t>Row 14</t>
  </si>
  <si>
    <r>
      <t>= Flow Rate x Density x g x Total Head / 3.6 x 10</t>
    </r>
    <r>
      <rPr>
        <vertAlign val="superscript"/>
        <sz val="10"/>
        <color indexed="21"/>
        <rFont val="Calibri"/>
        <family val="2"/>
      </rPr>
      <t>6</t>
    </r>
  </si>
  <si>
    <t>Yes</t>
  </si>
  <si>
    <t>No</t>
  </si>
  <si>
    <t>Pump Inlet Diameter</t>
  </si>
  <si>
    <t>Pump Outlet Diameter</t>
  </si>
  <si>
    <t>Inlet Velocity</t>
  </si>
  <si>
    <t>Outlet Velocity</t>
  </si>
  <si>
    <t>m</t>
  </si>
  <si>
    <t>Velocity Head Inlet</t>
  </si>
  <si>
    <t>Velocity Head Outlet</t>
  </si>
  <si>
    <t>Delta Velocity Head</t>
  </si>
  <si>
    <t>Pump Discharge hydraulic power (m hd) (m3/h)</t>
  </si>
  <si>
    <t>Pump Discharge hydraulic power (bar) (m3/h)</t>
  </si>
  <si>
    <t>Pump Discharge hydraulic power (psi) (m3/h)</t>
  </si>
  <si>
    <t>System Friction Losses (Discharge Side)</t>
  </si>
  <si>
    <t xml:space="preserve">Total Head </t>
  </si>
  <si>
    <t>Velocity Hydraulic Power (m hd)</t>
  </si>
  <si>
    <t>Velocity Hydraulic Power (bar)</t>
  </si>
  <si>
    <t>Velocity Hydraulic Power (psi)</t>
  </si>
  <si>
    <t>Hydraulic power total (Static Suction + Pump Discharge Head + Delta Vel) (m hd) g/h</t>
  </si>
  <si>
    <t>Hydraulic power total (Static Suction + Pump Discharge Head + Delta Vel) (bar) g/h</t>
  </si>
  <si>
    <t>Hydraulic power total (Static Suction + Pump Discharge Head + Delta Vel) (psi) g/h</t>
  </si>
  <si>
    <t>Hydraulic power total (Static Suction + Pump Discharge Head + Delta Vel) (psi) m3/h</t>
  </si>
  <si>
    <t>Hydraulic power total (Static Suction + Pump Discharge Head + Delta Vel) (m hd) m3/h</t>
  </si>
  <si>
    <t>Hydraulic power total (Static Suction + Pump Discharge Head + Delta Vel) (bar) m3/h</t>
  </si>
  <si>
    <t>Used for converting the pump dischrge pressure from m hd, bar &amp; psi inot m hd for system friction losses calculation</t>
  </si>
  <si>
    <t>Each calc used for each dropdown (m hd, bar, psi), in Input Sheet</t>
  </si>
  <si>
    <t>= Pump Discharge Head - Static Discharge Head</t>
  </si>
  <si>
    <t>Design Friction Losses (Discharge Side)</t>
  </si>
  <si>
    <t>Row 59-63</t>
  </si>
  <si>
    <t>Row 65</t>
  </si>
  <si>
    <t>Total Head</t>
  </si>
  <si>
    <t>Row 67</t>
  </si>
  <si>
    <r>
      <rPr>
        <sz val="10"/>
        <rFont val="Calibri"/>
        <family val="2"/>
      </rPr>
      <t xml:space="preserve">The Overall System Efficiency (%) is calculated by using the following formula:
</t>
    </r>
    <r>
      <rPr>
        <b/>
        <sz val="10"/>
        <rFont val="Calibri"/>
        <family val="2"/>
      </rPr>
      <t>Overall System Efficiency (%) = Motor Efficiency (%) x Pump Hydraulic Efficiency (%) x "Piping" Efficiency (%)</t>
    </r>
  </si>
  <si>
    <t xml:space="preserve">Length of Pipe (Discharge Side) </t>
  </si>
  <si>
    <t>NOTE: The Pump Inlet and Pump Discharge Flanges may or may not be be at the same level.  The Calculation Tool does not account for such an elevation difference, it assumes the Pump Inlet and the Pump Outlet are at the same level.</t>
  </si>
  <si>
    <t>From measurement (flowmeter) @ pump discharge or estimate</t>
  </si>
  <si>
    <t>Row 69</t>
  </si>
  <si>
    <t>Row 71</t>
  </si>
  <si>
    <t>Row 112</t>
  </si>
  <si>
    <t>Row 114</t>
  </si>
  <si>
    <t>Row 129</t>
  </si>
  <si>
    <t>Row 127</t>
  </si>
  <si>
    <t>Pump Inlet, Outlet Diameter and Velocity Head</t>
  </si>
  <si>
    <t>EPIs are useful for comparison purposes to allow plant operators to compare their performance both internally (i.e. internal benchmarking over a period of time) and externally (to that of other plants).  Caution should be exercised when comparing EPIs as they are plant specific and are influenced by variables such as plant size, total static head, motor efficiencies etc.  Below is a list of some of the more common Wastewater and Pumping EPIs and a brief description of each one.</t>
  </si>
  <si>
    <t>Static Suction Head (m hd) + Pump Discharge Head (m hd) + Velocity Head Difference (m hd)</t>
  </si>
  <si>
    <t>Is Inlet Diameter = Outlet Diameter?</t>
  </si>
  <si>
    <t>If No, enter Pump Inlet &amp; Outlet Diameters below</t>
  </si>
  <si>
    <t xml:space="preserve"> - Introduction</t>
  </si>
  <si>
    <t>The power consumption of the pump motor is entered in this section.  You can do this in one of three alternative ways depending on what data and measurement equipment you have to hand.  You can:
- Enter the rated motor power directly from the nameplate (Row 17) OR
- Measure the actual motor power consumption (Rows 23) OR
- Measure the actual current and voltage at the motor and estimate the power factor (Row 29-35)
Regardless of which of the above approaches you use, you also need to enter the motor efficiency (Row 41)</t>
  </si>
  <si>
    <r>
      <t xml:space="preserve">The apparent power (measured in kVA) is calculated by the spreadsheet tool using the following formula:
</t>
    </r>
    <r>
      <rPr>
        <b/>
        <sz val="10"/>
        <rFont val="Calibri"/>
        <family val="2"/>
      </rPr>
      <t>Apparent Power (kVA) = √3 x Voltage (V) x Current (A)</t>
    </r>
  </si>
  <si>
    <t>The motor's rated power is typically taken from the motor nameplate or motor documentation.  If not available use one of the alternative ways to enter motor power (see below)</t>
  </si>
  <si>
    <t>The actual power drawn by the motor can be measured using a wattmeter connected to the motor circuit.</t>
  </si>
  <si>
    <t>The Voltage of the Motor can be measured by connecting a Voltmeter across the motor.</t>
  </si>
  <si>
    <t>The Motor Current can be measured using an Ammeter.</t>
  </si>
  <si>
    <t>The Power Factor is typically given on the motor nameplate.  If it is not available, some typical Power Factor values are given on the Inputs sheet.</t>
  </si>
  <si>
    <t>The motor efficiency is typically given on the motor nameplate.  If this is unavailable search the Eurodeem Motor Analysis software for the motor size and model and the database will provide an efficiency value - there is a link to this databse on the Inputs sheet.  If the motor is not listed on the Eurodeem database, search the database for motors of equivalent size and use an efficeiency equal to the lowest efficiency on the database for that particular motor size, less 2%.</t>
  </si>
  <si>
    <r>
      <t xml:space="preserve">This is the mechanical power available at the output shaft of the motor; it is equal to the electrical power consumed less the motor losses (such as motor winding losses, motor inertia etc.).  It is calculated automatically using the formula:
</t>
    </r>
    <r>
      <rPr>
        <b/>
        <sz val="10"/>
        <rFont val="Calibri"/>
        <family val="2"/>
      </rPr>
      <t>Motor Shaft Power (kW) = Electrical Power Consumed (kW) x Motor Efficiency η</t>
    </r>
    <r>
      <rPr>
        <b/>
        <vertAlign val="subscript"/>
        <sz val="10"/>
        <rFont val="Calibri"/>
        <family val="2"/>
      </rPr>
      <t>Motor</t>
    </r>
    <r>
      <rPr>
        <b/>
        <sz val="10"/>
        <rFont val="Calibri"/>
        <family val="2"/>
      </rPr>
      <t xml:space="preserve"> (%)</t>
    </r>
  </si>
  <si>
    <t>The Pump Discharge Pressure is the pressure measured at the discharge flange of the pump using a Pressure Gauge.  The value can be entered in meters of head, bar or psi.</t>
  </si>
  <si>
    <t>The Pump Discharge Flow Rate is the flow rate measured at the pump discharge flange using a Flow Meter.  It can be entered in meters cubed per hour or imperial gallons per hour (where 1 imperial gallon = 4.55 litres)</t>
  </si>
  <si>
    <t>If the Pump Inlet Diameter is not equal to the Pump Outlet Diameter the difference in velocity head across the pump has to be accounted for (this figure will generally be very small).  If the Inlet and Outlet diameters are equal the Velocity Head difference will be zero .</t>
  </si>
  <si>
    <r>
      <t xml:space="preserve">The Pump Hydraulic Power Output is the power imparted to the fluid by the pump in kW.  It is calculated using the following formula:
</t>
    </r>
    <r>
      <rPr>
        <b/>
        <sz val="10"/>
        <rFont val="Calibri"/>
        <family val="2"/>
      </rPr>
      <t>Pump Hydraulic Power Output (kW) = (Fluid Density (kg/m</t>
    </r>
    <r>
      <rPr>
        <b/>
        <vertAlign val="superscript"/>
        <sz val="10"/>
        <rFont val="Calibri"/>
        <family val="2"/>
      </rPr>
      <t>3</t>
    </r>
    <r>
      <rPr>
        <b/>
        <sz val="10"/>
        <rFont val="Calibri"/>
        <family val="2"/>
      </rPr>
      <t>) x Acceleration due to Gravity, g (m/s</t>
    </r>
    <r>
      <rPr>
        <b/>
        <vertAlign val="superscript"/>
        <sz val="10"/>
        <rFont val="Calibri"/>
        <family val="2"/>
      </rPr>
      <t>2</t>
    </r>
    <r>
      <rPr>
        <b/>
        <sz val="10"/>
        <rFont val="Calibri"/>
        <family val="2"/>
      </rPr>
      <t>) x Total Head (m) x Flow Rate (m3/h)) / 367,000</t>
    </r>
  </si>
  <si>
    <r>
      <t xml:space="preserve">These are the due to internal friction in the system piping on the  </t>
    </r>
    <r>
      <rPr>
        <i/>
        <sz val="10"/>
        <rFont val="Calibri"/>
        <family val="2"/>
      </rPr>
      <t>Discharge Side</t>
    </r>
    <r>
      <rPr>
        <sz val="10"/>
        <rFont val="Calibri"/>
        <family val="2"/>
      </rPr>
      <t xml:space="preserve"> of the pump.  They are calculated using the following formula:
</t>
    </r>
    <r>
      <rPr>
        <b/>
        <sz val="10"/>
        <rFont val="Calibri"/>
        <family val="2"/>
      </rPr>
      <t xml:space="preserve">System Friction Losses (m) = Pump Discharge Pressure (m) - Static Discharge Head (m)
</t>
    </r>
  </si>
  <si>
    <t>The AUP can be calculated from eletricity bills - it is the total amount charged (in €) in a period (including standing charges) divided by the total number of units used in that period .</t>
  </si>
  <si>
    <t>Different electricity suppliers have different Emission Factors, which reflect the different generation mixes from which the suppliers source their electricity.  The Emission Factor is usually given on the electricity bill or can be provided on request by the electricity supplier.  The average national emission factor is shown on the spreadsheet and may be used if the supplier specific value is unknown.</t>
  </si>
  <si>
    <t>Density of the fluid being pumped in kg/m3.</t>
  </si>
  <si>
    <t>The length of piping in the pumping system in kilometres.  This can be determined from system drawings or estimated.</t>
  </si>
  <si>
    <t>This value is equivalent to the highest efficiency motor available on the market, equal in size to the motor in use in the system being analysed.  To obtain a value search the Eurodeem Database for an EFF1 (High Efficiency) motor of equivalent size to the one in use in the pumping system being analysed, and use its motor efficiency value as the Best Practise Value.</t>
  </si>
  <si>
    <t>This is equivalent to the highest value currently attainable in industry.  Typical values are available from the Pumping System Assessment Tool (PSAT).  Enter the system data into PSAT and PSAT will provide an "Optimal Efficiency" value for the Pump Efficiency, input this value as Best Practice.</t>
  </si>
  <si>
    <t>The Friction Losses that the system was desgned for (in meters of head per kilometre of pipeline), if known.  If unknown, some typical values are provided or use the Pressure Drop Calculator (link provided) to calculate the system pressure drop.</t>
  </si>
  <si>
    <t>The Static Suction Head is the vertical distance between the centreline of the pump inlet and the waterline of the source.  It can either be positive or negative depending on the location of the source.  If the source is above the pump the Static Suction Head is negative, if the source is below the pump the value is positive.</t>
  </si>
  <si>
    <t>The Static Discharge Head is the vertical distance between the centreline of the pump discharge outlet and the waterline of the reservoir or final destination that the system is pumping to.  If the reservoir is above the pump the value is positive; in the unlikely event that the reservoir is below the pump, the value is negative.</t>
  </si>
  <si>
    <r>
      <t xml:space="preserve">The "Piping" Efficiency is the efficiency of the system pipework and is influenced by variables such as pipe internal roughness and leakages.  For the purposes of this tool the "Piping" Efficiency is assumed to be equal to the efficiency of the discharge side piping and does not take into account the suction side pipework.  The "Piping" Efficiency therefore is calculated using the following formula:
</t>
    </r>
    <r>
      <rPr>
        <b/>
        <sz val="10"/>
        <rFont val="Calibri"/>
        <family val="2"/>
      </rPr>
      <t>"Piping" Efficiency (%) = (Pump Discharge Pressure - Static Discharge Head) / Pump Discharge Head)</t>
    </r>
  </si>
  <si>
    <t xml:space="preserve">Electricity Consumed p.a. (kWh) = Electricial Power Consumed (kW) x Operating Hours p.a (h) </t>
  </si>
  <si>
    <t>Electricity Cost p.a. (€) = Electricity Consumed p.a (kWh) x Electricity Average Unit Price (€/kWh)</t>
  </si>
  <si>
    <r>
      <t>Volume of Fluid Displaced p.a. (m</t>
    </r>
    <r>
      <rPr>
        <b/>
        <vertAlign val="superscript"/>
        <sz val="10"/>
        <rFont val="Calibri"/>
        <family val="2"/>
      </rPr>
      <t>3</t>
    </r>
    <r>
      <rPr>
        <b/>
        <sz val="10"/>
        <rFont val="Calibri"/>
        <family val="2"/>
      </rPr>
      <t>) = Pump Discharge Flowrate (m</t>
    </r>
    <r>
      <rPr>
        <b/>
        <vertAlign val="superscript"/>
        <sz val="10"/>
        <rFont val="Calibri"/>
        <family val="2"/>
      </rPr>
      <t>3</t>
    </r>
    <r>
      <rPr>
        <b/>
        <sz val="10"/>
        <rFont val="Calibri"/>
        <family val="2"/>
      </rPr>
      <t>/h) x Operating Hours p.a. (h)</t>
    </r>
  </si>
  <si>
    <t>Volume of Fluid Displaced p.a.</t>
  </si>
  <si>
    <t>Electricity Cost p.a.</t>
  </si>
  <si>
    <t>Electricity Consumed p.a.</t>
  </si>
  <si>
    <r>
      <t>kgCO</t>
    </r>
    <r>
      <rPr>
        <b/>
        <vertAlign val="subscript"/>
        <sz val="10"/>
        <rFont val="Calibri"/>
        <family val="2"/>
      </rPr>
      <t>2</t>
    </r>
    <r>
      <rPr>
        <b/>
        <sz val="10"/>
        <rFont val="Calibri"/>
        <family val="2"/>
      </rPr>
      <t xml:space="preserve"> Emitted p.a. = Electricity Consumed p.a. (kWh) x Emission Factor (kgCO</t>
    </r>
    <r>
      <rPr>
        <b/>
        <vertAlign val="subscript"/>
        <sz val="10"/>
        <rFont val="Calibri"/>
        <family val="2"/>
      </rPr>
      <t>2</t>
    </r>
    <r>
      <rPr>
        <b/>
        <sz val="10"/>
        <rFont val="Calibri"/>
        <family val="2"/>
      </rPr>
      <t xml:space="preserve">/kWh) </t>
    </r>
  </si>
  <si>
    <t>This is the most commonly used EPI in water pumping applications.  It is particularly useful for monitoring energy performance at one facility over time.  It is less useful for comparison purposes because comparisons are only valid for plants with similar design &amp; operating parameters.</t>
  </si>
  <si>
    <t>This is useful for internal comparison and, importantly, for compating performance between different plants because it account for differences in static head.</t>
  </si>
  <si>
    <t>Care should be taken when comparing to values for other stations as this EPI is dependent on the AUP for electricity which is dependent on the electricity supplier and may change from plant to plant and from time to time.</t>
  </si>
  <si>
    <t>Care should be taken when comparing to values for other stations as this EPI is dependent on the emission factor, which may vary from plant to plant and from time to time.</t>
  </si>
  <si>
    <r>
      <t xml:space="preserve">This is the efficiency of the pump in turning input shaft power (from the motor) into useful power output to the fluid (Hydraulic Power), it is calculated using the following formula:
</t>
    </r>
    <r>
      <rPr>
        <b/>
        <sz val="10"/>
        <rFont val="Calibri"/>
        <family val="2"/>
      </rPr>
      <t xml:space="preserve">Pump Hydraulic Efficiency (%) = Pump Hydraulic Power Output (kW) x 100 / Pump Input Shaft Power (kW).
</t>
    </r>
    <r>
      <rPr>
        <sz val="10"/>
        <rFont val="Calibri"/>
        <family val="2"/>
      </rPr>
      <t>The Pump Input Shaft Power is the same as the Motor Shaft Power</t>
    </r>
  </si>
  <si>
    <r>
      <t xml:space="preserve">The  Electric Power Consumed is equal to the power consumed while the Motor is operating.  Depending on how the user enters their Motor Power Data (see row 14-45), the Electrical Power consumed is equal to either the
i) </t>
    </r>
    <r>
      <rPr>
        <b/>
        <sz val="10"/>
        <rFont val="Calibri"/>
        <family val="2"/>
      </rPr>
      <t>Actual Motor Power (kW);</t>
    </r>
    <r>
      <rPr>
        <sz val="10"/>
        <rFont val="Calibri"/>
        <family val="2"/>
      </rPr>
      <t xml:space="preserve">
ii) </t>
    </r>
    <r>
      <rPr>
        <b/>
        <sz val="10"/>
        <rFont val="Calibri"/>
        <family val="2"/>
      </rPr>
      <t xml:space="preserve">Motor kVA x Power Factor; </t>
    </r>
    <r>
      <rPr>
        <sz val="10"/>
        <rFont val="Calibri"/>
        <family val="2"/>
      </rPr>
      <t xml:space="preserve">
iii) </t>
    </r>
    <r>
      <rPr>
        <b/>
        <sz val="10"/>
        <rFont val="Calibri"/>
        <family val="2"/>
      </rPr>
      <t>Rated</t>
    </r>
    <r>
      <rPr>
        <sz val="10"/>
        <rFont val="Calibri"/>
        <family val="2"/>
      </rPr>
      <t xml:space="preserve"> </t>
    </r>
    <r>
      <rPr>
        <b/>
        <sz val="10"/>
        <rFont val="Calibri"/>
        <family val="2"/>
      </rPr>
      <t>Motor Power (kW) / Motor Efficiency (%).</t>
    </r>
  </si>
  <si>
    <t>Update of Static Head calculation
Help worksheet</t>
  </si>
  <si>
    <t>Issued to SEI</t>
  </si>
  <si>
    <t>Pump Efficiency Calculation Tool Version History</t>
  </si>
  <si>
    <r>
      <t xml:space="preserve">The Total Head is the overall head supplied by the pump (both Suction Side and Discharge Side).  It is calculated using the following equation:
</t>
    </r>
    <r>
      <rPr>
        <b/>
        <sz val="10"/>
        <rFont val="Calibri"/>
        <family val="2"/>
      </rPr>
      <t xml:space="preserve">Total Head (m) = Static Suction Head (m) + Pump Discharge Head (m) + Change in Velocity Head (m)
</t>
    </r>
    <r>
      <rPr>
        <sz val="10"/>
        <rFont val="Calibri"/>
        <family val="2"/>
      </rPr>
      <t>where the Change in Velocity Head is:</t>
    </r>
    <r>
      <rPr>
        <b/>
        <sz val="10"/>
        <rFont val="Calibri"/>
        <family val="2"/>
      </rPr>
      <t xml:space="preserve">
Change in Velocity Head (m)  =  (Inlet Velocity - Outlet Velocity)</t>
    </r>
    <r>
      <rPr>
        <b/>
        <vertAlign val="superscript"/>
        <sz val="10"/>
        <rFont val="Calibri"/>
        <family val="2"/>
      </rPr>
      <t>2</t>
    </r>
    <r>
      <rPr>
        <b/>
        <sz val="10"/>
        <rFont val="Calibri"/>
        <family val="2"/>
      </rPr>
      <t xml:space="preserve"> (m/s)</t>
    </r>
    <r>
      <rPr>
        <b/>
        <vertAlign val="superscript"/>
        <sz val="10"/>
        <rFont val="Calibri"/>
        <family val="2"/>
      </rPr>
      <t>2</t>
    </r>
    <r>
      <rPr>
        <b/>
        <sz val="10"/>
        <rFont val="Calibri"/>
        <family val="2"/>
      </rPr>
      <t xml:space="preserve"> / 2 x g (m/s</t>
    </r>
    <r>
      <rPr>
        <b/>
        <vertAlign val="superscript"/>
        <sz val="10"/>
        <rFont val="Calibri"/>
        <family val="2"/>
      </rPr>
      <t>2</t>
    </r>
    <r>
      <rPr>
        <b/>
        <sz val="10"/>
        <rFont val="Calibri"/>
        <family val="2"/>
      </rPr>
      <t xml:space="preserve">)
</t>
    </r>
    <r>
      <rPr>
        <sz val="10"/>
        <rFont val="Calibri"/>
        <family val="2"/>
      </rPr>
      <t>The Velocity is calculated using the equation:</t>
    </r>
    <r>
      <rPr>
        <b/>
        <sz val="10"/>
        <rFont val="Calibri"/>
        <family val="2"/>
      </rPr>
      <t xml:space="preserve">
Velocity (m/s) = Flowrate (m</t>
    </r>
    <r>
      <rPr>
        <b/>
        <vertAlign val="superscript"/>
        <sz val="10"/>
        <rFont val="Calibri"/>
        <family val="2"/>
      </rPr>
      <t>3</t>
    </r>
    <r>
      <rPr>
        <b/>
        <sz val="10"/>
        <rFont val="Calibri"/>
        <family val="2"/>
      </rPr>
      <t>/h) / (Area (m</t>
    </r>
    <r>
      <rPr>
        <b/>
        <vertAlign val="superscript"/>
        <sz val="10"/>
        <rFont val="Calibri"/>
        <family val="2"/>
      </rPr>
      <t>2</t>
    </r>
    <r>
      <rPr>
        <b/>
        <sz val="10"/>
        <rFont val="Calibri"/>
        <family val="2"/>
      </rPr>
      <t>) x 3,600)</t>
    </r>
  </si>
  <si>
    <t>Change to calculation of friction loss
Formatting Changes</t>
  </si>
  <si>
    <t>Issued to SEI &amp; WS WG</t>
  </si>
  <si>
    <t>This tool is based on a tool originally developed by Tipperary Energy Agency, Midlands Energy Agency &amp; Kerry County Council</t>
  </si>
  <si>
    <t>Issued to SEAI &amp; WS WG</t>
  </si>
  <si>
    <t>Included reference to Kerry Co Co
Rebranded SEAI</t>
  </si>
  <si>
    <t>This tool is based on a tool originally developed by Tipperary Energy Agency, Midlands Energy Agency &amp; Kerry County Coucil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</si>
</sst>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 #,##0_-;_-* &quot;-&quot;??_-;_-@_-"/>
    <numFmt numFmtId="174" formatCode="0.0000"/>
    <numFmt numFmtId="175" formatCode="0.0%"/>
    <numFmt numFmtId="176" formatCode="0.000"/>
    <numFmt numFmtId="177" formatCode="_-[$€-1809]* #,##0_-;\-[$€-1809]* #,##0_-;_-[$€-1809]* &quot;-&quot;??_-;_-@_-"/>
    <numFmt numFmtId="178" formatCode="[$-1809]dd\ mmmm\ yyyy;@"/>
    <numFmt numFmtId="179" formatCode="#,##0.00_ ;\-#,##0.00\ "/>
    <numFmt numFmtId="180" formatCode="_-* #,##0.0_-;\-* #,##0.0_-;_-* &quot;-&quot;??_-;_-@_-"/>
    <numFmt numFmtId="181" formatCode="_-* #,##0.000_-;\-* #,##0.000_-;_-* &quot;-&quot;??_-;_-@_-"/>
    <numFmt numFmtId="182" formatCode="&quot;€&quot;#,##0"/>
    <numFmt numFmtId="183" formatCode="[$-F800]dddd\,\ mmmm\ dd\,\ yyyy"/>
    <numFmt numFmtId="184" formatCode="[$-1809]dd\ mmmm\ yyyy"/>
    <numFmt numFmtId="185" formatCode="&quot;Yes&quot;;&quot;Yes&quot;;&quot;No&quot;"/>
    <numFmt numFmtId="186" formatCode="&quot;True&quot;;&quot;True&quot;;&quot;False&quot;"/>
    <numFmt numFmtId="187" formatCode="&quot;On&quot;;&quot;On&quot;;&quot;Off&quot;"/>
    <numFmt numFmtId="188" formatCode="[$€-2]\ #,##0.00_);[Red]\([$€-2]\ #,##0.00\)"/>
    <numFmt numFmtId="189" formatCode="General\ &quot;m&quot;"/>
    <numFmt numFmtId="190" formatCode="\=\ General\ \&amp;&quot;m&quot;"/>
    <numFmt numFmtId="191" formatCode="&quot;m&quot;"/>
    <numFmt numFmtId="192" formatCode="0\ &quot;m&quot;"/>
    <numFmt numFmtId="193" formatCode="_-* #,##0.0_-;\-* #,##0.0_-;_-* &quot;-&quot;?_-;_-@_-"/>
    <numFmt numFmtId="194" formatCode="0.00000"/>
    <numFmt numFmtId="195" formatCode="0.00000000000000000"/>
    <numFmt numFmtId="196" formatCode="0.00000000000000"/>
    <numFmt numFmtId="197" formatCode="0.000000"/>
    <numFmt numFmtId="198" formatCode="#,##0.0_ ;\-#,##0.0\ "/>
    <numFmt numFmtId="199" formatCode="_-* #,##0.000_-;\-* #,##0.000_-;_-* &quot;-&quot;???_-;_-@_-"/>
  </numFmts>
  <fonts count="81">
    <font>
      <sz val="11"/>
      <color theme="1"/>
      <name val="Calibri"/>
      <family val="2"/>
    </font>
    <font>
      <sz val="11"/>
      <color indexed="8"/>
      <name val="Calibri"/>
      <family val="2"/>
    </font>
    <font>
      <b/>
      <sz val="10"/>
      <color indexed="8"/>
      <name val="Calibri"/>
      <family val="2"/>
    </font>
    <font>
      <sz val="10"/>
      <color indexed="8"/>
      <name val="Calibri"/>
      <family val="2"/>
    </font>
    <font>
      <vertAlign val="superscript"/>
      <sz val="10"/>
      <color indexed="8"/>
      <name val="Calibri"/>
      <family val="2"/>
    </font>
    <font>
      <b/>
      <sz val="10"/>
      <name val="Calibri"/>
      <family val="2"/>
    </font>
    <font>
      <vertAlign val="superscript"/>
      <sz val="10"/>
      <name val="Calibri"/>
      <family val="2"/>
    </font>
    <font>
      <b/>
      <vertAlign val="subscript"/>
      <sz val="10"/>
      <color indexed="8"/>
      <name val="Calibri"/>
      <family val="2"/>
    </font>
    <font>
      <b/>
      <sz val="11"/>
      <name val="Calibri"/>
      <family val="2"/>
    </font>
    <font>
      <b/>
      <vertAlign val="superscript"/>
      <sz val="10"/>
      <name val="Calibri"/>
      <family val="2"/>
    </font>
    <font>
      <b/>
      <vertAlign val="superscript"/>
      <sz val="10"/>
      <color indexed="8"/>
      <name val="Calibri"/>
      <family val="2"/>
    </font>
    <font>
      <b/>
      <vertAlign val="subscript"/>
      <sz val="10"/>
      <name val="Calibri"/>
      <family val="2"/>
    </font>
    <font>
      <b/>
      <sz val="11"/>
      <color indexed="9"/>
      <name val="Calibri"/>
      <family val="2"/>
    </font>
    <font>
      <b/>
      <sz val="10"/>
      <color indexed="8"/>
      <name val="GreekS"/>
      <family val="0"/>
    </font>
    <font>
      <sz val="10"/>
      <color indexed="21"/>
      <name val="Calibri"/>
      <family val="2"/>
    </font>
    <font>
      <vertAlign val="superscript"/>
      <sz val="10"/>
      <color indexed="21"/>
      <name val="Calibri"/>
      <family val="2"/>
    </font>
    <font>
      <vertAlign val="subscript"/>
      <sz val="10"/>
      <color indexed="8"/>
      <name val="Calibri"/>
      <family val="2"/>
    </font>
    <font>
      <b/>
      <vertAlign val="subscript"/>
      <sz val="11"/>
      <color indexed="9"/>
      <name val="Calibri"/>
      <family val="2"/>
    </font>
    <font>
      <b/>
      <sz val="12"/>
      <color indexed="9"/>
      <name val="Arial"/>
      <family val="2"/>
    </font>
    <font>
      <b/>
      <sz val="8"/>
      <color indexed="9"/>
      <name val="Arial"/>
      <family val="2"/>
    </font>
    <font>
      <sz val="8"/>
      <name val="Myriad pro"/>
      <family val="0"/>
    </font>
    <font>
      <b/>
      <u val="single"/>
      <sz val="10"/>
      <color indexed="8"/>
      <name val="Calibri"/>
      <family val="2"/>
    </font>
    <font>
      <sz val="10"/>
      <color indexed="10"/>
      <name val="Calibri"/>
      <family val="2"/>
    </font>
    <font>
      <b/>
      <sz val="16"/>
      <color indexed="8"/>
      <name val="Calibri"/>
      <family val="2"/>
    </font>
    <font>
      <sz val="12"/>
      <color indexed="8"/>
      <name val="Calibri"/>
      <family val="2"/>
    </font>
    <font>
      <i/>
      <sz val="10"/>
      <color indexed="8"/>
      <name val="Calibri"/>
      <family val="2"/>
    </font>
    <font>
      <b/>
      <sz val="14"/>
      <color indexed="8"/>
      <name val="Calibri"/>
      <family val="2"/>
    </font>
    <font>
      <sz val="10"/>
      <name val="Calibri"/>
      <family val="2"/>
    </font>
    <font>
      <b/>
      <sz val="10"/>
      <color indexed="10"/>
      <name val="Calibri"/>
      <family val="2"/>
    </font>
    <font>
      <u val="single"/>
      <sz val="10"/>
      <color indexed="12"/>
      <name val="Calibri"/>
      <family val="2"/>
    </font>
    <font>
      <b/>
      <sz val="11"/>
      <color indexed="8"/>
      <name val="Calibri"/>
      <family val="2"/>
    </font>
    <font>
      <sz val="11"/>
      <color indexed="9"/>
      <name val="Verdana"/>
      <family val="2"/>
    </font>
    <font>
      <b/>
      <sz val="18"/>
      <color indexed="21"/>
      <name val="Calibri"/>
      <family val="2"/>
    </font>
    <font>
      <b/>
      <sz val="10"/>
      <color indexed="21"/>
      <name val="Calibri"/>
      <family val="2"/>
    </font>
    <font>
      <b/>
      <sz val="11"/>
      <color indexed="21"/>
      <name val="Calibri"/>
      <family val="2"/>
    </font>
    <font>
      <sz val="11"/>
      <color indexed="10"/>
      <name val="Calibri"/>
      <family val="2"/>
    </font>
    <font>
      <sz val="11"/>
      <color indexed="9"/>
      <name val="Calibri"/>
      <family val="2"/>
    </font>
    <font>
      <u val="single"/>
      <sz val="10"/>
      <color indexed="21"/>
      <name val="Calibri"/>
      <family val="2"/>
    </font>
    <font>
      <sz val="11"/>
      <color indexed="21"/>
      <name val="Calibri"/>
      <family val="2"/>
    </font>
    <font>
      <b/>
      <i/>
      <sz val="11"/>
      <color indexed="8"/>
      <name val="Calibri"/>
      <family val="2"/>
    </font>
    <font>
      <i/>
      <sz val="10"/>
      <color indexed="21"/>
      <name val="Calibri"/>
      <family val="2"/>
    </font>
    <font>
      <b/>
      <u val="single"/>
      <sz val="11"/>
      <color indexed="21"/>
      <name val="Calibri"/>
      <family val="2"/>
    </font>
    <font>
      <i/>
      <sz val="10"/>
      <name val="Calibri"/>
      <family val="2"/>
    </font>
    <font>
      <sz val="8"/>
      <name val="Calibri"/>
      <family val="2"/>
    </font>
    <font>
      <b/>
      <sz val="10"/>
      <color indexed="9"/>
      <name val="Calibri"/>
      <family val="2"/>
    </font>
    <font>
      <sz val="10"/>
      <color indexed="9"/>
      <name val="Calibri"/>
      <family val="2"/>
    </font>
    <font>
      <sz val="11"/>
      <color indexed="22"/>
      <name val="Calibri"/>
      <family val="2"/>
    </font>
    <font>
      <u val="single"/>
      <sz val="11"/>
      <color indexed="36"/>
      <name val="Calibri"/>
      <family val="2"/>
    </font>
    <font>
      <sz val="8.45"/>
      <color indexed="8"/>
      <name val="Calibri"/>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2"/>
      <color indexed="8"/>
      <name val="Calibri"/>
      <family val="0"/>
    </font>
    <font>
      <b/>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1"/>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style="thin">
        <color indexed="55"/>
      </top>
      <bottom/>
    </border>
    <border>
      <left/>
      <right/>
      <top style="thin">
        <color indexed="55"/>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right style="thin">
        <color indexed="55"/>
      </right>
      <top style="thin">
        <color indexed="55"/>
      </top>
      <bottom/>
    </border>
    <border>
      <left style="thin">
        <color indexed="21"/>
      </left>
      <right/>
      <top style="thin">
        <color indexed="21"/>
      </top>
      <bottom/>
    </border>
    <border>
      <left/>
      <right style="thin">
        <color indexed="21"/>
      </right>
      <top style="thin">
        <color indexed="21"/>
      </top>
      <bottom/>
    </border>
    <border>
      <left style="thin">
        <color indexed="21"/>
      </left>
      <right/>
      <top/>
      <bottom/>
    </border>
    <border>
      <left/>
      <right style="thin">
        <color indexed="21"/>
      </right>
      <top/>
      <bottom/>
    </border>
    <border>
      <left style="thin">
        <color indexed="21"/>
      </left>
      <right/>
      <top/>
      <bottom style="thin">
        <color indexed="21"/>
      </bottom>
    </border>
    <border>
      <left/>
      <right/>
      <top/>
      <bottom style="thin">
        <color indexed="21"/>
      </bottom>
    </border>
    <border>
      <left/>
      <right style="thin">
        <color indexed="21"/>
      </right>
      <top/>
      <bottom style="thin">
        <color indexed="21"/>
      </bottom>
    </border>
    <border>
      <left style="medium">
        <color indexed="21"/>
      </left>
      <right/>
      <top style="medium">
        <color indexed="21"/>
      </top>
      <bottom/>
    </border>
    <border>
      <left/>
      <right/>
      <top style="medium">
        <color indexed="21"/>
      </top>
      <bottom/>
    </border>
    <border>
      <left/>
      <right style="medium">
        <color indexed="21"/>
      </right>
      <top style="medium">
        <color indexed="21"/>
      </top>
      <bottom/>
    </border>
    <border>
      <left style="medium">
        <color indexed="21"/>
      </left>
      <right/>
      <top/>
      <bottom/>
    </border>
    <border>
      <left/>
      <right style="medium">
        <color indexed="21"/>
      </right>
      <top/>
      <bottom/>
    </border>
    <border>
      <left style="medium">
        <color indexed="21"/>
      </left>
      <right/>
      <top/>
      <bottom style="medium">
        <color indexed="21"/>
      </bottom>
    </border>
    <border>
      <left/>
      <right/>
      <top/>
      <bottom style="medium">
        <color indexed="21"/>
      </bottom>
    </border>
    <border>
      <left/>
      <right style="medium">
        <color indexed="21"/>
      </right>
      <top/>
      <bottom style="medium">
        <color indexed="21"/>
      </bottom>
    </border>
    <border>
      <left style="thin">
        <color indexed="55"/>
      </left>
      <right/>
      <top/>
      <bottom/>
    </border>
    <border>
      <left style="thin">
        <color indexed="21"/>
      </left>
      <right/>
      <top style="thin">
        <color indexed="21"/>
      </top>
      <bottom style="thin">
        <color indexed="21"/>
      </bottom>
    </border>
    <border>
      <left/>
      <right/>
      <top style="thin">
        <color indexed="21"/>
      </top>
      <bottom style="thin">
        <color indexed="21"/>
      </bottom>
    </border>
    <border>
      <left/>
      <right style="thin">
        <color indexed="21"/>
      </right>
      <top style="thin">
        <color indexed="21"/>
      </top>
      <bottom style="thin">
        <color indexed="21"/>
      </bottom>
    </border>
    <border>
      <left/>
      <right style="thin">
        <color indexed="55"/>
      </right>
      <top/>
      <bottom/>
    </border>
    <border>
      <left/>
      <right/>
      <top style="thin">
        <color indexed="21"/>
      </top>
      <bottom/>
    </border>
    <border>
      <left style="thin">
        <color indexed="21"/>
      </left>
      <right style="thin">
        <color indexed="21"/>
      </right>
      <top style="thin">
        <color indexed="21"/>
      </top>
      <bottom style="thin">
        <color indexed="21"/>
      </bottom>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right style="thin"/>
      <top style="thin"/>
      <bottom/>
    </border>
    <border>
      <left style="thin"/>
      <right style="thin"/>
      <top/>
      <bottom/>
    </border>
    <border>
      <left style="thin"/>
      <right style="thin"/>
      <top/>
      <bottom style="thin"/>
    </border>
    <border>
      <left/>
      <right/>
      <top style="thin">
        <color indexed="21"/>
      </top>
      <bottom style="thin">
        <color indexed="55"/>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0" applyNumberFormat="0" applyFill="0" applyBorder="0" applyAlignment="0" applyProtection="0"/>
    <xf numFmtId="0" fontId="47"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26">
    <xf numFmtId="0" fontId="0" fillId="0" borderId="0" xfId="0" applyFont="1" applyAlignment="1">
      <alignment/>
    </xf>
    <xf numFmtId="0" fontId="2" fillId="33" borderId="0" xfId="0" applyFont="1" applyFill="1" applyAlignment="1">
      <alignment vertical="center"/>
    </xf>
    <xf numFmtId="0" fontId="0" fillId="33" borderId="0" xfId="0" applyFill="1" applyAlignment="1">
      <alignment/>
    </xf>
    <xf numFmtId="0" fontId="3" fillId="33" borderId="0" xfId="0" applyFont="1" applyFill="1" applyAlignment="1">
      <alignment/>
    </xf>
    <xf numFmtId="0" fontId="0" fillId="33" borderId="0" xfId="0" applyFill="1" applyBorder="1" applyAlignment="1">
      <alignment horizontal="left"/>
    </xf>
    <xf numFmtId="0" fontId="0" fillId="33" borderId="0" xfId="0" applyFill="1" applyBorder="1" applyAlignment="1">
      <alignment/>
    </xf>
    <xf numFmtId="178" fontId="0" fillId="33" borderId="0" xfId="0" applyNumberFormat="1" applyFill="1" applyBorder="1" applyAlignment="1">
      <alignment horizontal="left"/>
    </xf>
    <xf numFmtId="0" fontId="3" fillId="33" borderId="0" xfId="0" applyFont="1" applyFill="1" applyBorder="1" applyAlignment="1">
      <alignment/>
    </xf>
    <xf numFmtId="0" fontId="2" fillId="33" borderId="0" xfId="0" applyFont="1" applyFill="1" applyBorder="1" applyAlignment="1">
      <alignment vertical="center"/>
    </xf>
    <xf numFmtId="0" fontId="3" fillId="33" borderId="0" xfId="0" applyFont="1" applyFill="1" applyAlignment="1">
      <alignment vertical="center" wrapText="1"/>
    </xf>
    <xf numFmtId="0" fontId="22"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2" fillId="33" borderId="0" xfId="0" applyFont="1" applyFill="1" applyBorder="1" applyAlignment="1">
      <alignment/>
    </xf>
    <xf numFmtId="0" fontId="3" fillId="33" borderId="0" xfId="0" applyFont="1" applyFill="1" applyBorder="1" applyAlignment="1">
      <alignment vertical="center" wrapText="1"/>
    </xf>
    <xf numFmtId="0" fontId="23" fillId="33" borderId="0" xfId="0" applyFont="1" applyFill="1" applyBorder="1" applyAlignment="1">
      <alignment vertical="center"/>
    </xf>
    <xf numFmtId="0" fontId="2" fillId="33" borderId="0" xfId="0" applyFont="1" applyFill="1" applyBorder="1" applyAlignment="1">
      <alignment horizontal="center" vertical="center"/>
    </xf>
    <xf numFmtId="0" fontId="5" fillId="33" borderId="0" xfId="0" applyFont="1" applyFill="1" applyBorder="1" applyAlignment="1">
      <alignment vertical="center"/>
    </xf>
    <xf numFmtId="0" fontId="24" fillId="33" borderId="0" xfId="0" applyFont="1" applyFill="1" applyBorder="1" applyAlignment="1">
      <alignment vertical="center"/>
    </xf>
    <xf numFmtId="0" fontId="3" fillId="33" borderId="0" xfId="0" applyFont="1" applyFill="1" applyBorder="1" applyAlignment="1">
      <alignment horizontal="center" vertical="center" wrapText="1"/>
    </xf>
    <xf numFmtId="0" fontId="25" fillId="33" borderId="0" xfId="0" applyFont="1" applyFill="1" applyBorder="1" applyAlignment="1">
      <alignment horizontal="center" vertical="center" wrapText="1"/>
    </xf>
    <xf numFmtId="9" fontId="1" fillId="33" borderId="0" xfId="59" applyFont="1" applyFill="1" applyBorder="1" applyAlignment="1">
      <alignment/>
    </xf>
    <xf numFmtId="9" fontId="26" fillId="33" borderId="0" xfId="59" applyFont="1" applyFill="1" applyBorder="1" applyAlignment="1">
      <alignment/>
    </xf>
    <xf numFmtId="9" fontId="1" fillId="33" borderId="0" xfId="59" applyFont="1" applyFill="1" applyBorder="1" applyAlignment="1">
      <alignment horizontal="center"/>
    </xf>
    <xf numFmtId="9" fontId="0" fillId="33" borderId="0" xfId="0" applyNumberFormat="1" applyFont="1" applyFill="1" applyBorder="1" applyAlignment="1">
      <alignment/>
    </xf>
    <xf numFmtId="9" fontId="1" fillId="33" borderId="0" xfId="42" applyNumberFormat="1" applyFont="1" applyFill="1" applyBorder="1" applyAlignment="1">
      <alignment/>
    </xf>
    <xf numFmtId="171" fontId="0" fillId="33" borderId="0" xfId="0" applyNumberFormat="1" applyFont="1" applyFill="1" applyBorder="1" applyAlignment="1">
      <alignment horizontal="right"/>
    </xf>
    <xf numFmtId="173" fontId="1" fillId="33" borderId="0" xfId="42" applyNumberFormat="1" applyFont="1" applyFill="1" applyBorder="1" applyAlignment="1">
      <alignment horizontal="right"/>
    </xf>
    <xf numFmtId="9" fontId="26" fillId="33" borderId="0" xfId="59" applyFont="1" applyFill="1" applyBorder="1" applyAlignment="1">
      <alignment horizontal="center"/>
    </xf>
    <xf numFmtId="173" fontId="1" fillId="33" borderId="0" xfId="42" applyNumberFormat="1" applyFont="1" applyFill="1" applyBorder="1" applyAlignment="1">
      <alignment/>
    </xf>
    <xf numFmtId="171" fontId="0" fillId="33" borderId="0" xfId="0" applyNumberFormat="1" applyFill="1" applyBorder="1" applyAlignment="1">
      <alignment/>
    </xf>
    <xf numFmtId="175" fontId="2" fillId="33" borderId="0" xfId="0" applyNumberFormat="1" applyFont="1" applyFill="1" applyBorder="1" applyAlignment="1">
      <alignment horizontal="center" vertical="center"/>
    </xf>
    <xf numFmtId="0" fontId="3" fillId="0" borderId="0" xfId="0" applyFont="1" applyBorder="1" applyAlignment="1">
      <alignment horizontal="right" vertical="center"/>
    </xf>
    <xf numFmtId="9" fontId="3" fillId="33" borderId="0" xfId="0" applyNumberFormat="1" applyFont="1" applyFill="1" applyBorder="1" applyAlignment="1">
      <alignment vertical="center"/>
    </xf>
    <xf numFmtId="0" fontId="3" fillId="33" borderId="0" xfId="0" applyFont="1" applyFill="1" applyBorder="1" applyAlignment="1">
      <alignment horizontal="left" vertical="center" wrapText="1"/>
    </xf>
    <xf numFmtId="172" fontId="3" fillId="0" borderId="0" xfId="0" applyNumberFormat="1" applyFont="1" applyBorder="1" applyAlignment="1">
      <alignment horizontal="right" vertical="center"/>
    </xf>
    <xf numFmtId="0" fontId="25" fillId="33" borderId="0" xfId="0" applyFont="1" applyFill="1" applyBorder="1" applyAlignment="1">
      <alignment horizontal="left" vertical="center" wrapText="1"/>
    </xf>
    <xf numFmtId="175" fontId="3" fillId="33" borderId="0" xfId="0" applyNumberFormat="1" applyFont="1" applyFill="1" applyBorder="1" applyAlignment="1">
      <alignment vertical="center"/>
    </xf>
    <xf numFmtId="180" fontId="3" fillId="33" borderId="0" xfId="42" applyNumberFormat="1" applyFont="1" applyFill="1" applyBorder="1" applyAlignment="1">
      <alignment vertical="center"/>
    </xf>
    <xf numFmtId="172" fontId="3" fillId="33"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7" fillId="33" borderId="0" xfId="0" applyFont="1" applyFill="1" applyBorder="1" applyAlignment="1">
      <alignment vertical="center"/>
    </xf>
    <xf numFmtId="0" fontId="5" fillId="33" borderId="10" xfId="0" applyFont="1" applyFill="1" applyBorder="1" applyAlignment="1">
      <alignment vertical="center"/>
    </xf>
    <xf numFmtId="0" fontId="3" fillId="0" borderId="11" xfId="0" applyFont="1" applyBorder="1" applyAlignment="1">
      <alignment horizontal="right" vertical="center"/>
    </xf>
    <xf numFmtId="0" fontId="3" fillId="33" borderId="11" xfId="0" applyFont="1" applyFill="1" applyBorder="1" applyAlignment="1">
      <alignment horizontal="left" vertical="center" wrapText="1"/>
    </xf>
    <xf numFmtId="0" fontId="3" fillId="33" borderId="12" xfId="0" applyFont="1" applyFill="1" applyBorder="1" applyAlignment="1">
      <alignment vertical="center"/>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7" fillId="33" borderId="10" xfId="0" applyFont="1" applyFill="1" applyBorder="1" applyAlignment="1">
      <alignment vertical="center"/>
    </xf>
    <xf numFmtId="0" fontId="3" fillId="33" borderId="15" xfId="0" applyFont="1" applyFill="1" applyBorder="1" applyAlignment="1">
      <alignment horizontal="left" vertical="center" wrapText="1"/>
    </xf>
    <xf numFmtId="0" fontId="27" fillId="33" borderId="12" xfId="0" applyFont="1" applyFill="1" applyBorder="1" applyAlignment="1">
      <alignment vertical="center"/>
    </xf>
    <xf numFmtId="0" fontId="27" fillId="33" borderId="11" xfId="0" applyFont="1" applyFill="1" applyBorder="1" applyAlignment="1">
      <alignment vertical="center"/>
    </xf>
    <xf numFmtId="0" fontId="27" fillId="33" borderId="13" xfId="0" applyFont="1" applyFill="1" applyBorder="1" applyAlignment="1">
      <alignment vertical="center"/>
    </xf>
    <xf numFmtId="0" fontId="3" fillId="33" borderId="10" xfId="0" applyFont="1" applyFill="1" applyBorder="1" applyAlignment="1">
      <alignment vertical="center"/>
    </xf>
    <xf numFmtId="0" fontId="28" fillId="33" borderId="0" xfId="0" applyFont="1" applyFill="1" applyBorder="1" applyAlignment="1">
      <alignment vertical="center"/>
    </xf>
    <xf numFmtId="0" fontId="22" fillId="33" borderId="0" xfId="0" applyFont="1" applyFill="1" applyBorder="1" applyAlignment="1">
      <alignment vertical="center"/>
    </xf>
    <xf numFmtId="0" fontId="22" fillId="33" borderId="16" xfId="0" applyFont="1" applyFill="1" applyBorder="1" applyAlignment="1">
      <alignment vertical="center"/>
    </xf>
    <xf numFmtId="0" fontId="3" fillId="33" borderId="17" xfId="0" applyFont="1" applyFill="1" applyBorder="1" applyAlignment="1">
      <alignment horizontal="left" vertical="center" wrapText="1"/>
    </xf>
    <xf numFmtId="0" fontId="22" fillId="33" borderId="18" xfId="0" applyFont="1" applyFill="1" applyBorder="1" applyAlignment="1">
      <alignment vertical="center"/>
    </xf>
    <xf numFmtId="0" fontId="3" fillId="33" borderId="19" xfId="0" applyFont="1" applyFill="1" applyBorder="1" applyAlignment="1">
      <alignment horizontal="left" vertical="center" wrapText="1"/>
    </xf>
    <xf numFmtId="0" fontId="3" fillId="33" borderId="19" xfId="0" applyFont="1" applyFill="1" applyBorder="1" applyAlignment="1">
      <alignment vertical="center" wrapText="1"/>
    </xf>
    <xf numFmtId="0" fontId="3" fillId="33" borderId="19" xfId="0" applyFont="1" applyFill="1" applyBorder="1" applyAlignment="1">
      <alignment horizontal="left" vertical="center"/>
    </xf>
    <xf numFmtId="0" fontId="29" fillId="33" borderId="19" xfId="53" applyFont="1" applyFill="1" applyBorder="1" applyAlignment="1" applyProtection="1">
      <alignment vertical="center" wrapText="1"/>
      <protection/>
    </xf>
    <xf numFmtId="0" fontId="22" fillId="33" borderId="19" xfId="0" applyFont="1" applyFill="1" applyBorder="1" applyAlignment="1">
      <alignment horizontal="left" vertical="center" wrapText="1"/>
    </xf>
    <xf numFmtId="0" fontId="3" fillId="33" borderId="19" xfId="0" applyFont="1" applyFill="1" applyBorder="1" applyAlignment="1" quotePrefix="1">
      <alignment vertical="center" wrapText="1"/>
    </xf>
    <xf numFmtId="0" fontId="22" fillId="33" borderId="20" xfId="0" applyFont="1" applyFill="1" applyBorder="1" applyAlignment="1">
      <alignment vertical="center"/>
    </xf>
    <xf numFmtId="0" fontId="3" fillId="33" borderId="21" xfId="0" applyFont="1" applyFill="1" applyBorder="1" applyAlignment="1">
      <alignment vertical="center"/>
    </xf>
    <xf numFmtId="0" fontId="3" fillId="33" borderId="21" xfId="0" applyFont="1" applyFill="1" applyBorder="1" applyAlignment="1">
      <alignment horizontal="center" vertical="center" wrapText="1"/>
    </xf>
    <xf numFmtId="0" fontId="3" fillId="33" borderId="22" xfId="0" applyFont="1" applyFill="1" applyBorder="1" applyAlignment="1">
      <alignment vertical="center"/>
    </xf>
    <xf numFmtId="0" fontId="22" fillId="0" borderId="18" xfId="0" applyFont="1" applyFill="1" applyBorder="1" applyAlignment="1">
      <alignment vertical="center"/>
    </xf>
    <xf numFmtId="0" fontId="3" fillId="0" borderId="19" xfId="0" applyFont="1" applyFill="1" applyBorder="1" applyAlignment="1">
      <alignment vertical="center" wrapText="1"/>
    </xf>
    <xf numFmtId="175" fontId="3" fillId="33" borderId="21" xfId="0" applyNumberFormat="1" applyFont="1" applyFill="1" applyBorder="1" applyAlignment="1">
      <alignment vertical="center"/>
    </xf>
    <xf numFmtId="172" fontId="3" fillId="33" borderId="21" xfId="0" applyNumberFormat="1" applyFont="1" applyFill="1" applyBorder="1" applyAlignment="1">
      <alignment vertical="center"/>
    </xf>
    <xf numFmtId="0" fontId="3" fillId="33" borderId="21" xfId="0" applyFont="1" applyFill="1" applyBorder="1" applyAlignment="1">
      <alignment horizontal="left" vertical="center" wrapText="1"/>
    </xf>
    <xf numFmtId="0" fontId="3" fillId="33" borderId="21" xfId="0" applyFont="1" applyFill="1" applyBorder="1" applyAlignment="1">
      <alignment vertical="center" wrapText="1"/>
    </xf>
    <xf numFmtId="0" fontId="3" fillId="33" borderId="22" xfId="0" applyFont="1" applyFill="1" applyBorder="1" applyAlignment="1">
      <alignment vertical="center" wrapText="1"/>
    </xf>
    <xf numFmtId="0" fontId="22" fillId="33" borderId="23" xfId="0" applyFont="1" applyFill="1" applyBorder="1" applyAlignment="1">
      <alignment vertical="center"/>
    </xf>
    <xf numFmtId="0" fontId="22" fillId="33" borderId="24" xfId="0" applyFont="1" applyFill="1" applyBorder="1" applyAlignment="1">
      <alignment vertical="center"/>
    </xf>
    <xf numFmtId="0" fontId="3" fillId="33" borderId="24" xfId="0" applyFont="1" applyFill="1" applyBorder="1" applyAlignment="1">
      <alignment vertical="center"/>
    </xf>
    <xf numFmtId="0" fontId="2" fillId="33" borderId="24" xfId="0" applyFont="1" applyFill="1" applyBorder="1" applyAlignment="1">
      <alignment vertical="center"/>
    </xf>
    <xf numFmtId="0" fontId="3" fillId="33" borderId="25" xfId="0" applyFont="1" applyFill="1" applyBorder="1" applyAlignment="1">
      <alignment vertical="center"/>
    </xf>
    <xf numFmtId="0" fontId="28" fillId="33" borderId="26" xfId="0" applyFont="1" applyFill="1" applyBorder="1" applyAlignment="1">
      <alignment vertical="center"/>
    </xf>
    <xf numFmtId="0" fontId="2" fillId="33" borderId="27" xfId="0" applyFont="1" applyFill="1" applyBorder="1" applyAlignment="1">
      <alignment vertical="center"/>
    </xf>
    <xf numFmtId="0" fontId="22" fillId="33" borderId="26" xfId="0" applyFont="1" applyFill="1" applyBorder="1" applyAlignment="1">
      <alignment vertical="center"/>
    </xf>
    <xf numFmtId="0" fontId="3" fillId="33" borderId="27" xfId="0" applyFont="1" applyFill="1" applyBorder="1" applyAlignment="1">
      <alignment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22" fillId="0" borderId="26" xfId="0" applyFont="1" applyFill="1" applyBorder="1" applyAlignment="1">
      <alignment vertical="center"/>
    </xf>
    <xf numFmtId="0" fontId="3" fillId="0" borderId="27" xfId="0" applyFont="1" applyFill="1" applyBorder="1" applyAlignment="1">
      <alignment vertical="center"/>
    </xf>
    <xf numFmtId="0" fontId="22" fillId="33" borderId="28" xfId="0" applyFont="1" applyFill="1" applyBorder="1" applyAlignment="1">
      <alignment vertical="center"/>
    </xf>
    <xf numFmtId="0" fontId="22" fillId="33" borderId="29" xfId="0" applyFont="1" applyFill="1" applyBorder="1" applyAlignment="1">
      <alignment vertical="center"/>
    </xf>
    <xf numFmtId="0" fontId="3" fillId="33" borderId="29" xfId="0" applyFont="1" applyFill="1" applyBorder="1" applyAlignment="1">
      <alignment vertical="center"/>
    </xf>
    <xf numFmtId="9" fontId="3" fillId="33" borderId="29" xfId="59" applyFont="1" applyFill="1" applyBorder="1" applyAlignment="1">
      <alignment vertical="center"/>
    </xf>
    <xf numFmtId="0" fontId="3" fillId="33" borderId="29" xfId="0" applyFont="1" applyFill="1" applyBorder="1" applyAlignment="1">
      <alignment horizontal="center" vertical="center" wrapText="1"/>
    </xf>
    <xf numFmtId="0" fontId="3" fillId="33" borderId="30" xfId="0" applyFont="1" applyFill="1" applyBorder="1" applyAlignment="1">
      <alignment vertical="center"/>
    </xf>
    <xf numFmtId="0" fontId="2" fillId="33" borderId="31" xfId="0" applyFont="1" applyFill="1" applyBorder="1" applyAlignment="1">
      <alignment vertical="center"/>
    </xf>
    <xf numFmtId="0" fontId="5" fillId="33" borderId="31" xfId="0" applyFont="1" applyFill="1" applyBorder="1" applyAlignment="1">
      <alignment vertical="center"/>
    </xf>
    <xf numFmtId="0" fontId="2" fillId="33" borderId="31" xfId="0" applyFont="1" applyFill="1" applyBorder="1" applyAlignment="1">
      <alignment horizontal="left" vertical="center"/>
    </xf>
    <xf numFmtId="0" fontId="27" fillId="33" borderId="19" xfId="0" applyFont="1" applyFill="1" applyBorder="1" applyAlignment="1">
      <alignment vertical="center" wrapText="1"/>
    </xf>
    <xf numFmtId="9" fontId="2" fillId="33" borderId="21" xfId="59" applyFont="1" applyFill="1" applyBorder="1" applyAlignment="1">
      <alignment vertical="center"/>
    </xf>
    <xf numFmtId="0" fontId="27" fillId="33" borderId="21" xfId="0" applyFont="1" applyFill="1" applyBorder="1" applyAlignment="1">
      <alignment vertical="center" wrapText="1"/>
    </xf>
    <xf numFmtId="0" fontId="27" fillId="33" borderId="22" xfId="0" applyFont="1" applyFill="1" applyBorder="1" applyAlignment="1">
      <alignment vertical="center" wrapText="1"/>
    </xf>
    <xf numFmtId="0" fontId="2" fillId="33" borderId="0" xfId="0" applyFont="1" applyFill="1" applyAlignment="1">
      <alignment horizontal="center" vertical="center"/>
    </xf>
    <xf numFmtId="0" fontId="2" fillId="33" borderId="24" xfId="0" applyFont="1" applyFill="1" applyBorder="1" applyAlignment="1">
      <alignment horizontal="center" vertical="center"/>
    </xf>
    <xf numFmtId="0" fontId="23"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center" vertical="center"/>
    </xf>
    <xf numFmtId="175" fontId="2" fillId="33" borderId="21" xfId="0" applyNumberFormat="1" applyFont="1" applyFill="1" applyBorder="1" applyAlignment="1">
      <alignment horizontal="center" vertical="center"/>
    </xf>
    <xf numFmtId="0" fontId="2" fillId="33" borderId="29" xfId="0" applyFont="1" applyFill="1" applyBorder="1" applyAlignment="1">
      <alignment horizontal="center" vertical="center"/>
    </xf>
    <xf numFmtId="14" fontId="2" fillId="33" borderId="0" xfId="0" applyNumberFormat="1" applyFont="1" applyFill="1" applyBorder="1" applyAlignment="1">
      <alignment horizontal="center" vertical="center"/>
    </xf>
    <xf numFmtId="0" fontId="3" fillId="34" borderId="0" xfId="0" applyFont="1" applyFill="1" applyAlignment="1">
      <alignment vertical="center"/>
    </xf>
    <xf numFmtId="0" fontId="3" fillId="34" borderId="0" xfId="0" applyFont="1" applyFill="1" applyBorder="1" applyAlignment="1">
      <alignment vertical="center"/>
    </xf>
    <xf numFmtId="0" fontId="2" fillId="34" borderId="0" xfId="0" applyFont="1" applyFill="1" applyBorder="1" applyAlignment="1">
      <alignment vertical="center"/>
    </xf>
    <xf numFmtId="0" fontId="2" fillId="34" borderId="0" xfId="0" applyFont="1" applyFill="1" applyAlignment="1">
      <alignment vertical="center"/>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3" fillId="34" borderId="0" xfId="0" applyFont="1" applyFill="1" applyBorder="1" applyAlignment="1">
      <alignment vertical="center" wrapText="1"/>
    </xf>
    <xf numFmtId="0" fontId="3" fillId="34" borderId="0" xfId="0" applyFont="1" applyFill="1" applyAlignment="1">
      <alignment vertical="center" wrapText="1"/>
    </xf>
    <xf numFmtId="0" fontId="22" fillId="34" borderId="0" xfId="0" applyFont="1" applyFill="1" applyAlignment="1">
      <alignment vertical="center"/>
    </xf>
    <xf numFmtId="0" fontId="2" fillId="34" borderId="0" xfId="0" applyFont="1" applyFill="1" applyAlignment="1">
      <alignment horizontal="center" vertical="center"/>
    </xf>
    <xf numFmtId="0" fontId="0" fillId="34" borderId="0" xfId="0" applyFill="1" applyAlignment="1">
      <alignment vertical="center"/>
    </xf>
    <xf numFmtId="0" fontId="30" fillId="34" borderId="0" xfId="0" applyFont="1" applyFill="1" applyBorder="1" applyAlignment="1">
      <alignment vertical="center"/>
    </xf>
    <xf numFmtId="0" fontId="0" fillId="34" borderId="0" xfId="0" applyFill="1" applyBorder="1" applyAlignment="1">
      <alignment vertical="center"/>
    </xf>
    <xf numFmtId="0" fontId="3" fillId="34" borderId="0" xfId="0" applyFont="1" applyFill="1" applyAlignment="1">
      <alignment horizontal="center" vertical="center"/>
    </xf>
    <xf numFmtId="0" fontId="31" fillId="0" borderId="0" xfId="0" applyFont="1" applyAlignment="1">
      <alignment/>
    </xf>
    <xf numFmtId="0" fontId="32" fillId="33" borderId="0" xfId="0" applyFont="1" applyFill="1" applyBorder="1" applyAlignment="1">
      <alignment vertical="center"/>
    </xf>
    <xf numFmtId="0" fontId="33" fillId="33" borderId="0" xfId="0" applyFont="1" applyFill="1" applyBorder="1" applyAlignment="1">
      <alignment vertical="center"/>
    </xf>
    <xf numFmtId="0" fontId="33" fillId="33" borderId="0" xfId="0" applyFont="1" applyFill="1" applyBorder="1" applyAlignment="1">
      <alignment horizontal="center" vertical="center"/>
    </xf>
    <xf numFmtId="0" fontId="34" fillId="33" borderId="0" xfId="0" applyFont="1" applyFill="1" applyBorder="1" applyAlignment="1">
      <alignment vertical="center"/>
    </xf>
    <xf numFmtId="0" fontId="0" fillId="33" borderId="0" xfId="0" applyFont="1" applyFill="1" applyAlignment="1">
      <alignment vertical="center"/>
    </xf>
    <xf numFmtId="0" fontId="35" fillId="33" borderId="26" xfId="0" applyFont="1" applyFill="1" applyBorder="1" applyAlignment="1">
      <alignment vertical="center"/>
    </xf>
    <xf numFmtId="0" fontId="36" fillId="35" borderId="32" xfId="0" applyFont="1" applyFill="1" applyBorder="1" applyAlignment="1">
      <alignment vertical="center"/>
    </xf>
    <xf numFmtId="0" fontId="12" fillId="35" borderId="33" xfId="0" applyFont="1" applyFill="1" applyBorder="1" applyAlignment="1">
      <alignment vertical="center"/>
    </xf>
    <xf numFmtId="0" fontId="12" fillId="35" borderId="33" xfId="0" applyFont="1" applyFill="1" applyBorder="1" applyAlignment="1">
      <alignment horizontal="center" vertical="center"/>
    </xf>
    <xf numFmtId="0" fontId="36" fillId="35" borderId="33" xfId="0" applyFont="1" applyFill="1" applyBorder="1" applyAlignment="1">
      <alignment horizontal="center" vertical="center"/>
    </xf>
    <xf numFmtId="0" fontId="36" fillId="35" borderId="33" xfId="0" applyFont="1" applyFill="1" applyBorder="1" applyAlignment="1">
      <alignment vertical="center"/>
    </xf>
    <xf numFmtId="0" fontId="36" fillId="35" borderId="34" xfId="0" applyFont="1" applyFill="1" applyBorder="1" applyAlignment="1">
      <alignment vertical="center"/>
    </xf>
    <xf numFmtId="0" fontId="0" fillId="33" borderId="27" xfId="0" applyFont="1" applyFill="1" applyBorder="1" applyAlignment="1">
      <alignment vertical="center"/>
    </xf>
    <xf numFmtId="0" fontId="0" fillId="33" borderId="0" xfId="0" applyFont="1" applyFill="1" applyBorder="1" applyAlignment="1">
      <alignment vertical="center"/>
    </xf>
    <xf numFmtId="0" fontId="0" fillId="34" borderId="0" xfId="0" applyFont="1" applyFill="1" applyBorder="1" applyAlignment="1">
      <alignment vertical="center"/>
    </xf>
    <xf numFmtId="0" fontId="0" fillId="34" borderId="0" xfId="0" applyFont="1" applyFill="1" applyAlignment="1">
      <alignment vertical="center"/>
    </xf>
    <xf numFmtId="0" fontId="22" fillId="33" borderId="26" xfId="0" applyFont="1" applyFill="1" applyBorder="1" applyAlignment="1">
      <alignment/>
    </xf>
    <xf numFmtId="0" fontId="3" fillId="33" borderId="27" xfId="0" applyFont="1" applyFill="1" applyBorder="1" applyAlignment="1">
      <alignment/>
    </xf>
    <xf numFmtId="0" fontId="22" fillId="33" borderId="26" xfId="0" applyFont="1" applyFill="1" applyBorder="1" applyAlignment="1">
      <alignment vertical="center" wrapText="1"/>
    </xf>
    <xf numFmtId="0" fontId="22" fillId="33" borderId="28" xfId="0" applyFont="1" applyFill="1" applyBorder="1" applyAlignment="1">
      <alignment/>
    </xf>
    <xf numFmtId="0" fontId="3" fillId="33" borderId="29" xfId="0" applyFont="1" applyFill="1" applyBorder="1" applyAlignment="1">
      <alignment/>
    </xf>
    <xf numFmtId="0" fontId="3" fillId="33" borderId="30" xfId="0" applyFont="1" applyFill="1" applyBorder="1" applyAlignment="1">
      <alignment/>
    </xf>
    <xf numFmtId="0" fontId="3" fillId="34" borderId="0" xfId="0" applyFont="1" applyFill="1" applyAlignment="1">
      <alignment/>
    </xf>
    <xf numFmtId="9" fontId="3" fillId="34" borderId="0" xfId="59" applyFont="1" applyFill="1" applyBorder="1" applyAlignment="1">
      <alignment vertical="center"/>
    </xf>
    <xf numFmtId="0" fontId="22" fillId="34" borderId="0" xfId="0" applyFont="1" applyFill="1" applyAlignment="1">
      <alignment/>
    </xf>
    <xf numFmtId="171" fontId="3" fillId="34" borderId="0" xfId="0" applyNumberFormat="1" applyFont="1" applyFill="1" applyAlignment="1">
      <alignment/>
    </xf>
    <xf numFmtId="0" fontId="14" fillId="33" borderId="35" xfId="0" applyFont="1" applyFill="1" applyBorder="1" applyAlignment="1">
      <alignment vertical="center" wrapText="1"/>
    </xf>
    <xf numFmtId="0" fontId="14" fillId="33" borderId="14"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0" xfId="0" applyFont="1" applyFill="1" applyBorder="1" applyAlignment="1">
      <alignment horizontal="left" vertical="center"/>
    </xf>
    <xf numFmtId="0" fontId="14" fillId="33" borderId="15" xfId="0" applyFont="1" applyFill="1" applyBorder="1" applyAlignment="1">
      <alignment horizontal="left" vertical="center" wrapText="1"/>
    </xf>
    <xf numFmtId="0" fontId="14" fillId="33" borderId="35" xfId="0" applyFont="1" applyFill="1" applyBorder="1" applyAlignment="1">
      <alignment horizontal="left" vertical="center" wrapText="1"/>
    </xf>
    <xf numFmtId="0" fontId="14" fillId="33" borderId="15" xfId="0" applyFont="1" applyFill="1" applyBorder="1" applyAlignment="1">
      <alignment horizontal="left" vertical="center"/>
    </xf>
    <xf numFmtId="0" fontId="37" fillId="33" borderId="35" xfId="53" applyFont="1" applyFill="1" applyBorder="1" applyAlignment="1" applyProtection="1">
      <alignment vertical="center" wrapText="1"/>
      <protection/>
    </xf>
    <xf numFmtId="0" fontId="14" fillId="33" borderId="35" xfId="0" applyFont="1" applyFill="1" applyBorder="1" applyAlignment="1" quotePrefix="1">
      <alignment vertical="center" wrapText="1"/>
    </xf>
    <xf numFmtId="0" fontId="14" fillId="33" borderId="0" xfId="0" applyFont="1" applyFill="1" applyAlignment="1">
      <alignment vertical="center"/>
    </xf>
    <xf numFmtId="0" fontId="14" fillId="33" borderId="26" xfId="0" applyFont="1" applyFill="1" applyBorder="1" applyAlignment="1">
      <alignment vertical="center"/>
    </xf>
    <xf numFmtId="0" fontId="14" fillId="33" borderId="16" xfId="0" applyFont="1" applyFill="1" applyBorder="1" applyAlignment="1">
      <alignment vertical="center"/>
    </xf>
    <xf numFmtId="0" fontId="14" fillId="33" borderId="17" xfId="0" applyFont="1" applyFill="1" applyBorder="1" applyAlignment="1">
      <alignment horizontal="left" vertical="center" wrapText="1"/>
    </xf>
    <xf numFmtId="0" fontId="14" fillId="33" borderId="27" xfId="0" applyFont="1" applyFill="1" applyBorder="1" applyAlignment="1">
      <alignment horizontal="left" vertical="center"/>
    </xf>
    <xf numFmtId="0" fontId="14" fillId="33" borderId="0" xfId="0" applyFont="1" applyFill="1" applyBorder="1" applyAlignment="1">
      <alignment vertical="center"/>
    </xf>
    <xf numFmtId="0" fontId="14" fillId="34" borderId="0" xfId="0" applyFont="1" applyFill="1" applyBorder="1" applyAlignment="1">
      <alignment horizontal="left" vertical="center"/>
    </xf>
    <xf numFmtId="0" fontId="14" fillId="34" borderId="0" xfId="0" applyFont="1" applyFill="1" applyAlignment="1">
      <alignment horizontal="left" vertical="center"/>
    </xf>
    <xf numFmtId="0" fontId="14" fillId="34" borderId="0" xfId="0" applyFont="1" applyFill="1" applyAlignment="1">
      <alignment vertical="center"/>
    </xf>
    <xf numFmtId="0" fontId="14" fillId="33" borderId="0" xfId="0" applyFont="1" applyFill="1" applyBorder="1" applyAlignment="1">
      <alignment vertical="center" wrapText="1"/>
    </xf>
    <xf numFmtId="0" fontId="14" fillId="0" borderId="0" xfId="0" applyFont="1" applyFill="1" applyBorder="1" applyAlignment="1">
      <alignment vertical="center" wrapText="1"/>
    </xf>
    <xf numFmtId="0" fontId="14" fillId="33" borderId="0" xfId="0" applyFont="1" applyFill="1" applyBorder="1" applyAlignment="1" quotePrefix="1">
      <alignment vertical="center" wrapText="1"/>
    </xf>
    <xf numFmtId="0" fontId="14" fillId="33" borderId="21" xfId="0" applyFont="1" applyFill="1" applyBorder="1" applyAlignment="1">
      <alignment vertical="center" wrapText="1"/>
    </xf>
    <xf numFmtId="0" fontId="37" fillId="33" borderId="0" xfId="53" applyFont="1" applyFill="1" applyBorder="1" applyAlignment="1" applyProtection="1">
      <alignment vertical="center" wrapText="1"/>
      <protection/>
    </xf>
    <xf numFmtId="0" fontId="33" fillId="33" borderId="0" xfId="0" applyFont="1" applyFill="1" applyBorder="1" applyAlignment="1">
      <alignment/>
    </xf>
    <xf numFmtId="0" fontId="14" fillId="33" borderId="0" xfId="0" applyFont="1" applyFill="1" applyBorder="1" applyAlignment="1">
      <alignment/>
    </xf>
    <xf numFmtId="9" fontId="14" fillId="33" borderId="0" xfId="0" applyNumberFormat="1" applyFont="1" applyFill="1" applyBorder="1" applyAlignment="1">
      <alignment wrapText="1"/>
    </xf>
    <xf numFmtId="9" fontId="14" fillId="33" borderId="0" xfId="0" applyNumberFormat="1" applyFont="1" applyFill="1" applyBorder="1" applyAlignment="1">
      <alignment/>
    </xf>
    <xf numFmtId="171" fontId="14" fillId="33" borderId="0" xfId="0" applyNumberFormat="1" applyFont="1" applyFill="1" applyBorder="1" applyAlignment="1">
      <alignment/>
    </xf>
    <xf numFmtId="10" fontId="14" fillId="33" borderId="0" xfId="42" applyNumberFormat="1" applyFont="1" applyFill="1" applyBorder="1" applyAlignment="1">
      <alignment/>
    </xf>
    <xf numFmtId="0" fontId="12" fillId="33" borderId="0" xfId="0" applyFont="1" applyFill="1" applyBorder="1" applyAlignment="1">
      <alignment vertical="center"/>
    </xf>
    <xf numFmtId="0" fontId="12" fillId="35" borderId="32" xfId="0" applyFont="1" applyFill="1" applyBorder="1" applyAlignment="1">
      <alignment vertical="center"/>
    </xf>
    <xf numFmtId="0" fontId="12" fillId="35" borderId="34" xfId="0" applyFont="1" applyFill="1" applyBorder="1" applyAlignment="1">
      <alignment vertical="center"/>
    </xf>
    <xf numFmtId="0" fontId="12" fillId="33" borderId="18" xfId="0" applyFont="1" applyFill="1" applyBorder="1" applyAlignment="1">
      <alignment vertical="center"/>
    </xf>
    <xf numFmtId="0" fontId="12" fillId="33" borderId="19" xfId="0" applyFont="1" applyFill="1" applyBorder="1" applyAlignment="1">
      <alignment vertical="center"/>
    </xf>
    <xf numFmtId="0" fontId="27" fillId="33" borderId="18" xfId="0" applyFont="1" applyFill="1"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vertical="center"/>
    </xf>
    <xf numFmtId="0" fontId="2" fillId="33" borderId="20" xfId="0" applyFont="1" applyFill="1" applyBorder="1" applyAlignment="1">
      <alignment vertical="center"/>
    </xf>
    <xf numFmtId="9" fontId="2" fillId="33" borderId="22" xfId="59" applyFont="1" applyFill="1" applyBorder="1" applyAlignment="1">
      <alignment vertical="center"/>
    </xf>
    <xf numFmtId="0" fontId="0" fillId="33" borderId="0" xfId="0" applyFont="1" applyFill="1" applyBorder="1" applyAlignment="1">
      <alignment/>
    </xf>
    <xf numFmtId="0" fontId="12" fillId="35" borderId="16" xfId="0" applyFont="1" applyFill="1" applyBorder="1" applyAlignment="1">
      <alignment vertical="center"/>
    </xf>
    <xf numFmtId="0" fontId="12" fillId="35" borderId="36" xfId="0" applyFont="1" applyFill="1" applyBorder="1" applyAlignment="1">
      <alignment vertical="center"/>
    </xf>
    <xf numFmtId="0" fontId="12" fillId="35" borderId="17" xfId="0" applyFont="1" applyFill="1" applyBorder="1" applyAlignment="1">
      <alignment vertical="center"/>
    </xf>
    <xf numFmtId="0" fontId="2" fillId="33" borderId="18" xfId="0" applyFont="1" applyFill="1" applyBorder="1" applyAlignment="1">
      <alignment/>
    </xf>
    <xf numFmtId="0" fontId="2" fillId="33" borderId="20" xfId="0" applyFont="1" applyFill="1" applyBorder="1" applyAlignment="1">
      <alignment/>
    </xf>
    <xf numFmtId="173" fontId="1" fillId="33" borderId="21" xfId="42" applyNumberFormat="1" applyFont="1" applyFill="1" applyBorder="1" applyAlignment="1">
      <alignment/>
    </xf>
    <xf numFmtId="0" fontId="0" fillId="33" borderId="22" xfId="0" applyFont="1" applyFill="1" applyBorder="1" applyAlignment="1">
      <alignment/>
    </xf>
    <xf numFmtId="173" fontId="3" fillId="33" borderId="0" xfId="42" applyNumberFormat="1" applyFont="1" applyFill="1" applyBorder="1" applyAlignment="1">
      <alignment/>
    </xf>
    <xf numFmtId="0" fontId="3" fillId="33" borderId="19" xfId="0" applyFont="1" applyFill="1" applyBorder="1" applyAlignment="1">
      <alignment/>
    </xf>
    <xf numFmtId="170" fontId="3" fillId="33" borderId="0" xfId="44" applyFont="1" applyFill="1" applyBorder="1" applyAlignment="1">
      <alignment/>
    </xf>
    <xf numFmtId="0" fontId="3" fillId="33" borderId="18" xfId="0" applyFont="1" applyFill="1" applyBorder="1" applyAlignment="1">
      <alignment vertical="center" wrapText="1"/>
    </xf>
    <xf numFmtId="0" fontId="2" fillId="33" borderId="19" xfId="0" applyFont="1" applyFill="1" applyBorder="1" applyAlignment="1">
      <alignment vertical="center"/>
    </xf>
    <xf numFmtId="0" fontId="33" fillId="33" borderId="20" xfId="0" applyFont="1" applyFill="1" applyBorder="1" applyAlignment="1">
      <alignment/>
    </xf>
    <xf numFmtId="9" fontId="38" fillId="33" borderId="21" xfId="42" applyNumberFormat="1" applyFont="1" applyFill="1" applyBorder="1" applyAlignment="1">
      <alignment/>
    </xf>
    <xf numFmtId="173" fontId="38" fillId="33" borderId="21" xfId="42" applyNumberFormat="1" applyFont="1" applyFill="1" applyBorder="1" applyAlignment="1">
      <alignment horizontal="right"/>
    </xf>
    <xf numFmtId="177" fontId="38" fillId="33" borderId="22" xfId="0" applyNumberFormat="1" applyFont="1" applyFill="1" applyBorder="1" applyAlignment="1">
      <alignment/>
    </xf>
    <xf numFmtId="0" fontId="2" fillId="33" borderId="19" xfId="0" applyFont="1" applyFill="1" applyBorder="1" applyAlignment="1">
      <alignment/>
    </xf>
    <xf numFmtId="0" fontId="2" fillId="33" borderId="21" xfId="0" applyFont="1" applyFill="1" applyBorder="1" applyAlignment="1">
      <alignment/>
    </xf>
    <xf numFmtId="0" fontId="3" fillId="33" borderId="21" xfId="0" applyFont="1" applyFill="1" applyBorder="1" applyAlignment="1">
      <alignment/>
    </xf>
    <xf numFmtId="0" fontId="2"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12" fillId="35" borderId="37" xfId="0" applyFont="1" applyFill="1" applyBorder="1" applyAlignment="1">
      <alignment vertical="center"/>
    </xf>
    <xf numFmtId="0" fontId="0" fillId="33" borderId="19" xfId="0" applyFill="1" applyBorder="1" applyAlignment="1">
      <alignment/>
    </xf>
    <xf numFmtId="0" fontId="5" fillId="33" borderId="20" xfId="0" applyFont="1" applyFill="1" applyBorder="1" applyAlignment="1">
      <alignment vertical="center"/>
    </xf>
    <xf numFmtId="0" fontId="5" fillId="33" borderId="21" xfId="0" applyFont="1" applyFill="1" applyBorder="1" applyAlignment="1">
      <alignment vertical="center"/>
    </xf>
    <xf numFmtId="0" fontId="3" fillId="33" borderId="22" xfId="0" applyFont="1"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20" xfId="0" applyFill="1" applyBorder="1" applyAlignment="1">
      <alignment/>
    </xf>
    <xf numFmtId="9" fontId="26" fillId="33" borderId="21" xfId="59" applyFont="1" applyFill="1" applyBorder="1" applyAlignment="1">
      <alignment/>
    </xf>
    <xf numFmtId="178" fontId="0" fillId="33" borderId="21" xfId="0" applyNumberFormat="1" applyFill="1" applyBorder="1" applyAlignment="1">
      <alignment horizontal="left"/>
    </xf>
    <xf numFmtId="0" fontId="0" fillId="33" borderId="22" xfId="0" applyFill="1" applyBorder="1" applyAlignment="1">
      <alignment/>
    </xf>
    <xf numFmtId="9" fontId="26" fillId="33" borderId="18" xfId="59" applyFont="1" applyFill="1" applyBorder="1" applyAlignment="1">
      <alignment horizontal="center"/>
    </xf>
    <xf numFmtId="9" fontId="1" fillId="33" borderId="18" xfId="59" applyFont="1" applyFill="1" applyBorder="1" applyAlignment="1">
      <alignment horizontal="center"/>
    </xf>
    <xf numFmtId="9" fontId="26" fillId="33" borderId="18" xfId="59" applyFont="1" applyFill="1" applyBorder="1" applyAlignment="1">
      <alignment horizontal="right"/>
    </xf>
    <xf numFmtId="2" fontId="26" fillId="33" borderId="19" xfId="0" applyNumberFormat="1" applyFont="1" applyFill="1" applyBorder="1" applyAlignment="1">
      <alignment horizontal="center"/>
    </xf>
    <xf numFmtId="0" fontId="3" fillId="33" borderId="19" xfId="0" applyFont="1" applyFill="1" applyBorder="1" applyAlignment="1">
      <alignment horizontal="center"/>
    </xf>
    <xf numFmtId="0" fontId="0" fillId="33" borderId="19" xfId="0" applyFill="1" applyBorder="1" applyAlignment="1">
      <alignment horizontal="center"/>
    </xf>
    <xf numFmtId="0" fontId="26" fillId="33" borderId="19" xfId="0" applyFont="1" applyFill="1" applyBorder="1" applyAlignment="1">
      <alignment horizontal="center" vertical="top"/>
    </xf>
    <xf numFmtId="9" fontId="26" fillId="33" borderId="19" xfId="59" applyFont="1" applyFill="1" applyBorder="1" applyAlignment="1">
      <alignment horizontal="center"/>
    </xf>
    <xf numFmtId="9" fontId="1" fillId="33" borderId="19" xfId="59" applyFont="1" applyFill="1" applyBorder="1" applyAlignment="1">
      <alignment horizontal="center"/>
    </xf>
    <xf numFmtId="0" fontId="0" fillId="34" borderId="38" xfId="0" applyFill="1" applyBorder="1" applyAlignment="1">
      <alignment/>
    </xf>
    <xf numFmtId="0" fontId="30" fillId="34" borderId="39" xfId="0" applyFont="1" applyFill="1" applyBorder="1" applyAlignment="1">
      <alignment/>
    </xf>
    <xf numFmtId="0" fontId="0" fillId="34" borderId="0" xfId="0" applyFill="1" applyAlignment="1">
      <alignment/>
    </xf>
    <xf numFmtId="0" fontId="30" fillId="34" borderId="0" xfId="0" applyFont="1" applyFill="1" applyBorder="1" applyAlignment="1">
      <alignment horizontal="center"/>
    </xf>
    <xf numFmtId="0" fontId="30" fillId="34" borderId="40" xfId="0" applyFont="1" applyFill="1" applyBorder="1" applyAlignment="1">
      <alignment/>
    </xf>
    <xf numFmtId="9" fontId="1" fillId="34" borderId="40" xfId="59" applyFont="1" applyFill="1" applyBorder="1" applyAlignment="1">
      <alignment/>
    </xf>
    <xf numFmtId="0" fontId="2" fillId="34" borderId="40" xfId="0" applyFont="1" applyFill="1" applyBorder="1" applyAlignment="1">
      <alignment/>
    </xf>
    <xf numFmtId="173" fontId="1" fillId="34" borderId="40" xfId="42" applyNumberFormat="1" applyFont="1" applyFill="1" applyBorder="1" applyAlignment="1">
      <alignment horizontal="right"/>
    </xf>
    <xf numFmtId="0" fontId="0" fillId="34" borderId="41" xfId="0" applyFill="1" applyBorder="1" applyAlignment="1">
      <alignment/>
    </xf>
    <xf numFmtId="0" fontId="30" fillId="34" borderId="42" xfId="0" applyFont="1" applyFill="1" applyBorder="1" applyAlignment="1">
      <alignment/>
    </xf>
    <xf numFmtId="0" fontId="39" fillId="34" borderId="40" xfId="0" applyFont="1" applyFill="1" applyBorder="1" applyAlignment="1">
      <alignment/>
    </xf>
    <xf numFmtId="0" fontId="39" fillId="34" borderId="0" xfId="0" applyFont="1" applyFill="1" applyBorder="1" applyAlignment="1">
      <alignment/>
    </xf>
    <xf numFmtId="0" fontId="0" fillId="34" borderId="40" xfId="0" applyFill="1" applyBorder="1" applyAlignment="1">
      <alignment/>
    </xf>
    <xf numFmtId="0" fontId="0" fillId="34" borderId="43" xfId="0" applyFill="1" applyBorder="1" applyAlignment="1">
      <alignment/>
    </xf>
    <xf numFmtId="0" fontId="30" fillId="34" borderId="44" xfId="0" applyFont="1" applyFill="1" applyBorder="1" applyAlignment="1">
      <alignment/>
    </xf>
    <xf numFmtId="174" fontId="0" fillId="34" borderId="40" xfId="0" applyNumberFormat="1" applyFill="1" applyBorder="1" applyAlignment="1">
      <alignment/>
    </xf>
    <xf numFmtId="174" fontId="0" fillId="34" borderId="0" xfId="0" applyNumberFormat="1" applyFill="1" applyBorder="1" applyAlignment="1">
      <alignment/>
    </xf>
    <xf numFmtId="0" fontId="0" fillId="34" borderId="0" xfId="0" applyFill="1" applyBorder="1" applyAlignment="1">
      <alignment/>
    </xf>
    <xf numFmtId="0" fontId="30" fillId="34" borderId="0" xfId="0" applyFont="1" applyFill="1" applyAlignment="1">
      <alignment/>
    </xf>
    <xf numFmtId="0" fontId="30" fillId="34" borderId="0" xfId="0" applyFont="1" applyFill="1" applyBorder="1" applyAlignment="1">
      <alignment/>
    </xf>
    <xf numFmtId="176" fontId="0" fillId="34" borderId="40" xfId="0" applyNumberFormat="1" applyFill="1" applyBorder="1" applyAlignment="1">
      <alignment/>
    </xf>
    <xf numFmtId="176" fontId="0" fillId="34" borderId="0" xfId="0" applyNumberFormat="1" applyFill="1" applyBorder="1" applyAlignment="1">
      <alignment/>
    </xf>
    <xf numFmtId="2" fontId="0" fillId="34" borderId="0" xfId="0" applyNumberFormat="1" applyFill="1" applyAlignment="1">
      <alignment/>
    </xf>
    <xf numFmtId="9" fontId="1" fillId="34" borderId="0" xfId="59" applyFont="1" applyFill="1" applyBorder="1" applyAlignment="1">
      <alignment/>
    </xf>
    <xf numFmtId="171" fontId="1" fillId="34" borderId="0" xfId="42" applyFont="1" applyFill="1" applyAlignment="1">
      <alignment/>
    </xf>
    <xf numFmtId="0" fontId="0" fillId="34" borderId="0" xfId="0" applyFont="1" applyFill="1" applyAlignment="1">
      <alignment/>
    </xf>
    <xf numFmtId="0" fontId="18" fillId="35" borderId="45" xfId="0" applyFont="1" applyFill="1" applyBorder="1" applyAlignment="1">
      <alignment horizontal="centerContinuous" vertical="center"/>
    </xf>
    <xf numFmtId="0" fontId="19" fillId="35" borderId="45" xfId="0" applyFont="1" applyFill="1" applyBorder="1" applyAlignment="1">
      <alignment horizontal="center" vertical="center" wrapText="1"/>
    </xf>
    <xf numFmtId="172" fontId="20" fillId="0" borderId="46" xfId="0" applyNumberFormat="1" applyFont="1" applyFill="1" applyBorder="1" applyAlignment="1">
      <alignment horizontal="center" vertical="center" wrapText="1"/>
    </xf>
    <xf numFmtId="0" fontId="20" fillId="0" borderId="46" xfId="0" applyFont="1" applyFill="1" applyBorder="1" applyAlignment="1">
      <alignment vertical="center" wrapText="1"/>
    </xf>
    <xf numFmtId="14" fontId="20" fillId="0" borderId="46" xfId="0" applyNumberFormat="1" applyFont="1" applyFill="1" applyBorder="1" applyAlignment="1">
      <alignment horizontal="center" vertical="center" wrapText="1"/>
    </xf>
    <xf numFmtId="172" fontId="20" fillId="0" borderId="45" xfId="0" applyNumberFormat="1" applyFont="1" applyFill="1" applyBorder="1" applyAlignment="1">
      <alignment horizontal="center" vertical="center" wrapText="1"/>
    </xf>
    <xf numFmtId="0" fontId="20" fillId="0" borderId="45" xfId="0" applyFont="1" applyFill="1" applyBorder="1" applyAlignment="1">
      <alignment vertical="center" wrapText="1"/>
    </xf>
    <xf numFmtId="14" fontId="20" fillId="0" borderId="45" xfId="0" applyNumberFormat="1" applyFont="1" applyFill="1" applyBorder="1" applyAlignment="1">
      <alignment horizontal="center" vertical="center" wrapText="1"/>
    </xf>
    <xf numFmtId="0" fontId="20" fillId="0" borderId="45" xfId="0" applyFont="1" applyFill="1" applyBorder="1" applyAlignment="1">
      <alignment horizontal="center" vertical="center" wrapText="1"/>
    </xf>
    <xf numFmtId="49" fontId="32" fillId="33" borderId="0" xfId="0" applyNumberFormat="1" applyFont="1" applyFill="1" applyBorder="1" applyAlignment="1">
      <alignment vertical="center"/>
    </xf>
    <xf numFmtId="0" fontId="2" fillId="33" borderId="21" xfId="0" applyFont="1" applyFill="1" applyBorder="1" applyAlignment="1">
      <alignment vertical="center"/>
    </xf>
    <xf numFmtId="0" fontId="33" fillId="33" borderId="21" xfId="0" applyFont="1" applyFill="1" applyBorder="1" applyAlignment="1">
      <alignment/>
    </xf>
    <xf numFmtId="0" fontId="5" fillId="33" borderId="0" xfId="0" applyFont="1" applyFill="1" applyBorder="1" applyAlignment="1">
      <alignment/>
    </xf>
    <xf numFmtId="0" fontId="0" fillId="0" borderId="0" xfId="0" applyBorder="1" applyAlignment="1">
      <alignment/>
    </xf>
    <xf numFmtId="171" fontId="0" fillId="33" borderId="19" xfId="0" applyNumberFormat="1" applyFill="1" applyBorder="1" applyAlignment="1">
      <alignment/>
    </xf>
    <xf numFmtId="171" fontId="0" fillId="33" borderId="22" xfId="0" applyNumberFormat="1" applyFill="1" applyBorder="1" applyAlignment="1">
      <alignment/>
    </xf>
    <xf numFmtId="0" fontId="12" fillId="33" borderId="0" xfId="0" applyFont="1" applyFill="1" applyBorder="1" applyAlignment="1">
      <alignment horizontal="center"/>
    </xf>
    <xf numFmtId="0" fontId="12" fillId="33" borderId="19" xfId="0" applyFont="1" applyFill="1" applyBorder="1" applyAlignment="1">
      <alignment horizontal="center"/>
    </xf>
    <xf numFmtId="0" fontId="5" fillId="33" borderId="0" xfId="0" applyFont="1" applyFill="1" applyBorder="1" applyAlignment="1">
      <alignment horizontal="center"/>
    </xf>
    <xf numFmtId="0" fontId="5" fillId="33" borderId="19" xfId="0" applyFont="1" applyFill="1" applyBorder="1" applyAlignment="1">
      <alignment horizontal="center"/>
    </xf>
    <xf numFmtId="9" fontId="27" fillId="33" borderId="0" xfId="59" applyFont="1" applyFill="1" applyBorder="1" applyAlignment="1">
      <alignment horizontal="center" vertical="center"/>
    </xf>
    <xf numFmtId="9" fontId="27" fillId="33" borderId="19" xfId="59" applyFont="1" applyFill="1" applyBorder="1" applyAlignment="1">
      <alignment horizontal="center" vertical="center"/>
    </xf>
    <xf numFmtId="182" fontId="0" fillId="33" borderId="19" xfId="0" applyNumberFormat="1" applyFont="1" applyFill="1" applyBorder="1" applyAlignment="1">
      <alignment/>
    </xf>
    <xf numFmtId="182" fontId="3" fillId="33" borderId="0" xfId="44" applyNumberFormat="1" applyFont="1" applyFill="1" applyBorder="1" applyAlignment="1">
      <alignment/>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40" fillId="33" borderId="0" xfId="0" applyFont="1" applyFill="1" applyAlignment="1">
      <alignment vertical="top"/>
    </xf>
    <xf numFmtId="181" fontId="3" fillId="33" borderId="18" xfId="42" applyNumberFormat="1" applyFont="1" applyFill="1" applyBorder="1" applyAlignment="1">
      <alignment/>
    </xf>
    <xf numFmtId="181" fontId="3" fillId="33" borderId="0" xfId="42" applyNumberFormat="1" applyFont="1" applyFill="1" applyBorder="1" applyAlignment="1">
      <alignment/>
    </xf>
    <xf numFmtId="171" fontId="3" fillId="33" borderId="0" xfId="42" applyNumberFormat="1" applyFont="1" applyFill="1" applyBorder="1" applyAlignment="1">
      <alignment/>
    </xf>
    <xf numFmtId="181" fontId="3" fillId="33" borderId="20" xfId="42" applyNumberFormat="1" applyFont="1" applyFill="1" applyBorder="1" applyAlignment="1">
      <alignment/>
    </xf>
    <xf numFmtId="181" fontId="3" fillId="33" borderId="21" xfId="42" applyNumberFormat="1" applyFont="1" applyFill="1" applyBorder="1" applyAlignment="1">
      <alignment/>
    </xf>
    <xf numFmtId="173" fontId="3" fillId="33" borderId="21" xfId="42" applyNumberFormat="1" applyFont="1" applyFill="1" applyBorder="1" applyAlignment="1">
      <alignment/>
    </xf>
    <xf numFmtId="0" fontId="2" fillId="36" borderId="0" xfId="0" applyFont="1" applyFill="1" applyBorder="1" applyAlignment="1" applyProtection="1">
      <alignment vertical="center"/>
      <protection locked="0"/>
    </xf>
    <xf numFmtId="172" fontId="3" fillId="36" borderId="0" xfId="0" applyNumberFormat="1" applyFont="1" applyFill="1" applyBorder="1" applyAlignment="1" applyProtection="1">
      <alignment horizontal="right" vertical="center"/>
      <protection locked="0"/>
    </xf>
    <xf numFmtId="0" fontId="3" fillId="36" borderId="0" xfId="0" applyFont="1" applyFill="1" applyBorder="1" applyAlignment="1" applyProtection="1">
      <alignment horizontal="right" vertical="center"/>
      <protection locked="0"/>
    </xf>
    <xf numFmtId="9" fontId="3" fillId="36" borderId="0" xfId="0" applyNumberFormat="1" applyFont="1" applyFill="1" applyBorder="1" applyAlignment="1" applyProtection="1">
      <alignment vertical="center"/>
      <protection locked="0"/>
    </xf>
    <xf numFmtId="180" fontId="3" fillId="36" borderId="0" xfId="42" applyNumberFormat="1" applyFont="1" applyFill="1" applyBorder="1" applyAlignment="1" applyProtection="1">
      <alignment vertical="center"/>
      <protection locked="0"/>
    </xf>
    <xf numFmtId="0" fontId="27" fillId="36" borderId="0" xfId="0" applyFont="1" applyFill="1" applyBorder="1" applyAlignment="1" applyProtection="1">
      <alignment horizontal="left" vertical="center" wrapText="1"/>
      <protection locked="0"/>
    </xf>
    <xf numFmtId="0" fontId="3" fillId="36" borderId="0" xfId="0" applyFont="1" applyFill="1" applyBorder="1" applyAlignment="1" applyProtection="1">
      <alignment vertical="center"/>
      <protection locked="0"/>
    </xf>
    <xf numFmtId="173" fontId="3" fillId="36" borderId="0" xfId="42" applyNumberFormat="1" applyFont="1" applyFill="1" applyBorder="1" applyAlignment="1" applyProtection="1">
      <alignment vertical="center"/>
      <protection locked="0"/>
    </xf>
    <xf numFmtId="179" fontId="3" fillId="36" borderId="0" xfId="42" applyNumberFormat="1" applyFont="1" applyFill="1" applyBorder="1" applyAlignment="1" applyProtection="1">
      <alignment vertical="center"/>
      <protection locked="0"/>
    </xf>
    <xf numFmtId="9" fontId="27" fillId="36" borderId="0" xfId="0" applyNumberFormat="1" applyFont="1" applyFill="1" applyBorder="1" applyAlignment="1" applyProtection="1">
      <alignment vertical="center"/>
      <protection locked="0"/>
    </xf>
    <xf numFmtId="0" fontId="27" fillId="36" borderId="0" xfId="0" applyNumberFormat="1" applyFont="1" applyFill="1" applyBorder="1" applyAlignment="1" applyProtection="1">
      <alignment vertical="center"/>
      <protection locked="0"/>
    </xf>
    <xf numFmtId="0" fontId="34" fillId="33" borderId="0" xfId="0" applyFont="1" applyFill="1" applyBorder="1" applyAlignment="1">
      <alignment horizontal="center" vertical="center"/>
    </xf>
    <xf numFmtId="0" fontId="41" fillId="33" borderId="0" xfId="0" applyFont="1" applyFill="1" applyBorder="1" applyAlignment="1">
      <alignment horizontal="center" vertical="center"/>
    </xf>
    <xf numFmtId="0" fontId="30" fillId="36" borderId="0"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0" borderId="0" xfId="0" applyFont="1" applyBorder="1" applyAlignment="1">
      <alignment wrapText="1"/>
    </xf>
    <xf numFmtId="0" fontId="3" fillId="0" borderId="0" xfId="0" applyFont="1" applyBorder="1" applyAlignment="1">
      <alignment/>
    </xf>
    <xf numFmtId="0" fontId="25" fillId="0" borderId="0" xfId="0" applyFont="1" applyBorder="1" applyAlignment="1">
      <alignment/>
    </xf>
    <xf numFmtId="0" fontId="30" fillId="34" borderId="47" xfId="0" applyFont="1" applyFill="1" applyBorder="1" applyAlignment="1">
      <alignment/>
    </xf>
    <xf numFmtId="0" fontId="30" fillId="34" borderId="48" xfId="0" applyFont="1" applyFill="1" applyBorder="1" applyAlignment="1">
      <alignment/>
    </xf>
    <xf numFmtId="0" fontId="0" fillId="34" borderId="49" xfId="0" applyFill="1" applyBorder="1" applyAlignment="1">
      <alignment/>
    </xf>
    <xf numFmtId="14" fontId="2" fillId="36" borderId="0" xfId="0" applyNumberFormat="1" applyFont="1" applyFill="1" applyBorder="1" applyAlignment="1" applyProtection="1">
      <alignment vertical="center"/>
      <protection locked="0"/>
    </xf>
    <xf numFmtId="2" fontId="26" fillId="33" borderId="19" xfId="59" applyNumberFormat="1" applyFont="1" applyFill="1" applyBorder="1" applyAlignment="1">
      <alignment horizontal="center"/>
    </xf>
    <xf numFmtId="0" fontId="2" fillId="33" borderId="0" xfId="0" applyFont="1" applyFill="1" applyBorder="1" applyAlignment="1">
      <alignment horizontal="left" vertical="center"/>
    </xf>
    <xf numFmtId="0" fontId="3" fillId="0" borderId="0" xfId="0" applyFont="1" applyBorder="1" applyAlignment="1">
      <alignment wrapText="1"/>
    </xf>
    <xf numFmtId="0" fontId="14" fillId="33" borderId="0" xfId="0" applyFont="1" applyFill="1" applyBorder="1" applyAlignment="1">
      <alignment vertical="center" wrapText="1"/>
    </xf>
    <xf numFmtId="0" fontId="3" fillId="0" borderId="0" xfId="0" applyFont="1" applyAlignment="1">
      <alignment/>
    </xf>
    <xf numFmtId="0" fontId="3" fillId="0" borderId="26" xfId="0" applyFont="1" applyBorder="1" applyAlignment="1">
      <alignment/>
    </xf>
    <xf numFmtId="0" fontId="3" fillId="0" borderId="0" xfId="0" applyFont="1" applyBorder="1" applyAlignment="1">
      <alignment/>
    </xf>
    <xf numFmtId="0" fontId="3" fillId="0" borderId="27" xfId="0" applyFont="1" applyBorder="1" applyAlignment="1">
      <alignment/>
    </xf>
    <xf numFmtId="0" fontId="3" fillId="34" borderId="0" xfId="0" applyFont="1" applyFill="1" applyAlignment="1">
      <alignment/>
    </xf>
    <xf numFmtId="0" fontId="3" fillId="0" borderId="33" xfId="0" applyFont="1" applyBorder="1" applyAlignment="1">
      <alignment horizontal="left" vertical="top" wrapText="1"/>
    </xf>
    <xf numFmtId="0" fontId="14" fillId="0" borderId="33" xfId="0" applyFont="1" applyBorder="1" applyAlignment="1">
      <alignment horizontal="left" vertical="top"/>
    </xf>
    <xf numFmtId="0" fontId="44" fillId="35" borderId="0" xfId="0" applyFont="1" applyFill="1" applyBorder="1" applyAlignment="1">
      <alignment/>
    </xf>
    <xf numFmtId="0" fontId="45" fillId="35" borderId="0" xfId="0" applyFont="1" applyFill="1" applyBorder="1" applyAlignment="1">
      <alignment/>
    </xf>
    <xf numFmtId="0" fontId="45" fillId="35" borderId="0" xfId="0" applyFont="1" applyFill="1" applyBorder="1" applyAlignment="1">
      <alignment wrapText="1"/>
    </xf>
    <xf numFmtId="0" fontId="14" fillId="0" borderId="33" xfId="0" applyFont="1" applyBorder="1" applyAlignment="1">
      <alignment horizontal="left" vertical="top" wrapText="1"/>
    </xf>
    <xf numFmtId="0" fontId="27" fillId="0" borderId="33" xfId="0" applyFont="1" applyBorder="1" applyAlignment="1">
      <alignment horizontal="left" vertical="top" wrapText="1"/>
    </xf>
    <xf numFmtId="0" fontId="14" fillId="0" borderId="33" xfId="0" applyFont="1" applyBorder="1" applyAlignment="1">
      <alignment vertical="top"/>
    </xf>
    <xf numFmtId="0" fontId="27" fillId="0" borderId="33" xfId="0" applyFont="1" applyBorder="1" applyAlignment="1">
      <alignment vertical="top"/>
    </xf>
    <xf numFmtId="0" fontId="27" fillId="0" borderId="33" xfId="0" applyFont="1" applyBorder="1" applyAlignment="1">
      <alignment vertical="top" wrapText="1"/>
    </xf>
    <xf numFmtId="0" fontId="5" fillId="0" borderId="33" xfId="0" applyFont="1" applyBorder="1" applyAlignment="1">
      <alignment vertical="top" wrapText="1"/>
    </xf>
    <xf numFmtId="0" fontId="14" fillId="0" borderId="0" xfId="0" applyFont="1" applyBorder="1" applyAlignment="1">
      <alignment vertical="top"/>
    </xf>
    <xf numFmtId="0" fontId="27" fillId="0" borderId="0" xfId="0" applyFont="1" applyBorder="1" applyAlignment="1">
      <alignment vertical="top"/>
    </xf>
    <xf numFmtId="0" fontId="5" fillId="0" borderId="0" xfId="0" applyFont="1" applyBorder="1" applyAlignment="1">
      <alignment vertical="top" wrapText="1"/>
    </xf>
    <xf numFmtId="180" fontId="3" fillId="33" borderId="0" xfId="42" applyNumberFormat="1" applyFont="1" applyFill="1" applyBorder="1" applyAlignment="1">
      <alignment horizontal="center" vertical="center"/>
    </xf>
    <xf numFmtId="180" fontId="3" fillId="33" borderId="0" xfId="42" applyNumberFormat="1" applyFont="1" applyFill="1" applyBorder="1" applyAlignment="1">
      <alignment/>
    </xf>
    <xf numFmtId="0" fontId="2" fillId="33" borderId="31" xfId="0" applyFont="1" applyFill="1" applyBorder="1" applyAlignment="1">
      <alignment vertical="center"/>
    </xf>
    <xf numFmtId="0" fontId="3" fillId="0" borderId="33" xfId="0" applyFont="1" applyBorder="1" applyAlignment="1">
      <alignment vertical="top" wrapText="1"/>
    </xf>
    <xf numFmtId="0" fontId="14" fillId="0" borderId="36" xfId="0" applyFont="1" applyBorder="1" applyAlignment="1">
      <alignment vertical="top"/>
    </xf>
    <xf numFmtId="0" fontId="27" fillId="0" borderId="36" xfId="0" applyFont="1" applyBorder="1" applyAlignment="1">
      <alignment vertical="top"/>
    </xf>
    <xf numFmtId="0" fontId="5" fillId="0" borderId="36" xfId="0" applyFont="1" applyBorder="1" applyAlignment="1">
      <alignment vertical="top" wrapText="1"/>
    </xf>
    <xf numFmtId="0" fontId="27" fillId="0" borderId="21" xfId="0" applyFont="1" applyBorder="1" applyAlignment="1">
      <alignment vertical="top"/>
    </xf>
    <xf numFmtId="0" fontId="5" fillId="0" borderId="21" xfId="0" applyFont="1" applyBorder="1" applyAlignment="1">
      <alignment vertical="top" wrapText="1"/>
    </xf>
    <xf numFmtId="0" fontId="0" fillId="0" borderId="0" xfId="0" applyAlignment="1">
      <alignment wrapText="1"/>
    </xf>
    <xf numFmtId="0" fontId="14" fillId="33" borderId="0" xfId="0" applyFont="1" applyFill="1" applyBorder="1" applyAlignment="1" quotePrefix="1">
      <alignment vertical="center" wrapText="1"/>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3" fillId="33" borderId="0" xfId="0" applyFont="1" applyFill="1" applyBorder="1" applyAlignment="1">
      <alignment vertical="center"/>
    </xf>
    <xf numFmtId="175" fontId="2" fillId="33" borderId="0" xfId="0" applyNumberFormat="1" applyFont="1" applyFill="1" applyBorder="1" applyAlignment="1">
      <alignment vertical="center"/>
    </xf>
    <xf numFmtId="174" fontId="0" fillId="34" borderId="0" xfId="0" applyNumberFormat="1" applyFill="1" applyAlignment="1">
      <alignment/>
    </xf>
    <xf numFmtId="197" fontId="0" fillId="34" borderId="0" xfId="0" applyNumberFormat="1" applyFill="1" applyAlignment="1">
      <alignment/>
    </xf>
    <xf numFmtId="0" fontId="46" fillId="34" borderId="0" xfId="0" applyFont="1" applyFill="1" applyAlignment="1">
      <alignment/>
    </xf>
    <xf numFmtId="2" fontId="46" fillId="34" borderId="0" xfId="0" applyNumberFormat="1" applyFont="1" applyFill="1" applyAlignment="1">
      <alignment/>
    </xf>
    <xf numFmtId="49" fontId="14" fillId="33" borderId="0" xfId="0" applyNumberFormat="1" applyFont="1" applyFill="1" applyBorder="1" applyAlignment="1">
      <alignment vertical="center" wrapText="1"/>
    </xf>
    <xf numFmtId="0" fontId="3" fillId="34" borderId="0" xfId="0" applyFont="1" applyFill="1" applyBorder="1" applyAlignment="1">
      <alignment vertical="center"/>
    </xf>
    <xf numFmtId="192" fontId="5" fillId="33" borderId="0" xfId="0" applyNumberFormat="1" applyFont="1" applyFill="1" applyBorder="1" applyAlignment="1">
      <alignment horizontal="left" vertical="top"/>
    </xf>
    <xf numFmtId="192" fontId="5" fillId="33" borderId="0" xfId="0" applyNumberFormat="1" applyFont="1" applyFill="1" applyBorder="1" applyAlignment="1">
      <alignment horizontal="left" vertical="center"/>
    </xf>
    <xf numFmtId="0" fontId="27" fillId="0" borderId="21" xfId="0" applyFont="1" applyBorder="1" applyAlignment="1">
      <alignment vertical="top" wrapText="1"/>
    </xf>
    <xf numFmtId="0" fontId="14" fillId="33" borderId="0" xfId="0" applyFont="1" applyFill="1" applyBorder="1" applyAlignment="1">
      <alignment vertical="top"/>
    </xf>
    <xf numFmtId="9" fontId="2" fillId="33" borderId="0" xfId="59" applyFont="1" applyFill="1" applyBorder="1" applyAlignment="1">
      <alignment vertical="center"/>
    </xf>
    <xf numFmtId="0" fontId="27" fillId="33" borderId="0" xfId="0" applyFont="1" applyFill="1" applyBorder="1" applyAlignment="1">
      <alignment vertical="center" wrapText="1"/>
    </xf>
    <xf numFmtId="9" fontId="3" fillId="33" borderId="0" xfId="59" applyFont="1" applyFill="1" applyBorder="1" applyAlignment="1">
      <alignment vertical="center"/>
    </xf>
    <xf numFmtId="175" fontId="3" fillId="33" borderId="36" xfId="0" applyNumberFormat="1" applyFont="1" applyFill="1" applyBorder="1" applyAlignment="1">
      <alignment vertical="center"/>
    </xf>
    <xf numFmtId="175" fontId="2" fillId="33" borderId="36" xfId="0" applyNumberFormat="1" applyFont="1" applyFill="1" applyBorder="1" applyAlignment="1">
      <alignment horizontal="center" vertical="center"/>
    </xf>
    <xf numFmtId="172" fontId="3" fillId="33" borderId="36" xfId="0" applyNumberFormat="1"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vertical="center" wrapText="1"/>
    </xf>
    <xf numFmtId="0" fontId="3" fillId="33" borderId="17" xfId="0" applyFont="1" applyFill="1" applyBorder="1" applyAlignment="1">
      <alignment vertical="center" wrapText="1"/>
    </xf>
    <xf numFmtId="0" fontId="14" fillId="33" borderId="33" xfId="0" applyFont="1" applyFill="1" applyBorder="1" applyAlignment="1">
      <alignment vertical="top"/>
    </xf>
    <xf numFmtId="0" fontId="5" fillId="33" borderId="33" xfId="0" applyFont="1" applyFill="1" applyBorder="1" applyAlignment="1">
      <alignment vertical="top" wrapText="1"/>
    </xf>
    <xf numFmtId="178" fontId="0" fillId="36" borderId="0" xfId="0" applyNumberFormat="1" applyFill="1" applyBorder="1" applyAlignment="1" applyProtection="1">
      <alignment horizontal="center" vertical="center"/>
      <protection locked="0"/>
    </xf>
    <xf numFmtId="178" fontId="0" fillId="33" borderId="0" xfId="0" applyNumberFormat="1" applyFill="1" applyBorder="1" applyAlignment="1">
      <alignment horizontal="center"/>
    </xf>
    <xf numFmtId="192" fontId="5" fillId="33" borderId="0" xfId="0" applyNumberFormat="1" applyFont="1" applyFill="1" applyBorder="1" applyAlignment="1">
      <alignment horizontal="left" vertical="center" indent="5"/>
    </xf>
    <xf numFmtId="180" fontId="3" fillId="36" borderId="0" xfId="42" applyNumberFormat="1" applyFont="1" applyFill="1" applyBorder="1" applyAlignment="1" applyProtection="1">
      <alignment horizontal="right" vertical="center"/>
      <protection locked="0"/>
    </xf>
    <xf numFmtId="175" fontId="3" fillId="33" borderId="0" xfId="42" applyNumberFormat="1" applyFont="1" applyFill="1" applyBorder="1" applyAlignment="1">
      <alignment horizontal="right"/>
    </xf>
    <xf numFmtId="199" fontId="0" fillId="33" borderId="19" xfId="0" applyNumberFormat="1" applyFill="1" applyBorder="1" applyAlignment="1">
      <alignment/>
    </xf>
    <xf numFmtId="0" fontId="3" fillId="33" borderId="0" xfId="0" applyFont="1" applyFill="1" applyBorder="1" applyAlignment="1">
      <alignment horizontal="left" vertical="center" wrapText="1"/>
    </xf>
    <xf numFmtId="180" fontId="3" fillId="36" borderId="0" xfId="42" applyNumberFormat="1" applyFont="1" applyFill="1" applyBorder="1" applyAlignment="1" applyProtection="1">
      <alignment horizontal="left" vertical="center"/>
      <protection locked="0"/>
    </xf>
    <xf numFmtId="171" fontId="3" fillId="36" borderId="0" xfId="42" applyNumberFormat="1" applyFont="1" applyFill="1" applyBorder="1" applyAlignment="1" applyProtection="1">
      <alignment vertical="center"/>
      <protection locked="0"/>
    </xf>
    <xf numFmtId="180" fontId="3" fillId="33" borderId="0" xfId="42" applyNumberFormat="1" applyFont="1" applyFill="1" applyBorder="1" applyAlignment="1">
      <alignment vertical="center"/>
    </xf>
    <xf numFmtId="176" fontId="3" fillId="36" borderId="0" xfId="0" applyNumberFormat="1" applyFont="1" applyFill="1" applyBorder="1" applyAlignment="1" applyProtection="1">
      <alignment vertical="center"/>
      <protection locked="0"/>
    </xf>
    <xf numFmtId="0" fontId="27" fillId="0" borderId="33" xfId="0" applyFont="1" applyBorder="1" applyAlignment="1">
      <alignment vertical="top" wrapText="1"/>
    </xf>
    <xf numFmtId="0" fontId="3" fillId="0" borderId="33" xfId="0" applyFont="1" applyBorder="1" applyAlignment="1">
      <alignment horizontal="left" vertical="top" wrapText="1"/>
    </xf>
    <xf numFmtId="0" fontId="27" fillId="0" borderId="33" xfId="0" applyFont="1" applyBorder="1" applyAlignment="1">
      <alignment horizontal="left" vertical="top" wrapText="1"/>
    </xf>
    <xf numFmtId="0" fontId="27" fillId="0" borderId="21" xfId="0" applyFont="1" applyBorder="1" applyAlignment="1">
      <alignment vertical="top" wrapText="1"/>
    </xf>
    <xf numFmtId="0" fontId="27" fillId="33" borderId="33" xfId="0" applyFont="1" applyFill="1" applyBorder="1" applyAlignment="1">
      <alignment vertical="top" wrapText="1"/>
    </xf>
    <xf numFmtId="0" fontId="27" fillId="0" borderId="33" xfId="0" applyFont="1" applyFill="1" applyBorder="1" applyAlignment="1">
      <alignment vertical="top" wrapText="1"/>
    </xf>
    <xf numFmtId="0" fontId="27" fillId="0" borderId="33" xfId="0" applyFont="1" applyFill="1" applyBorder="1" applyAlignment="1">
      <alignment vertical="top" wrapText="1"/>
    </xf>
    <xf numFmtId="0" fontId="27" fillId="0" borderId="21" xfId="0" applyFont="1" applyFill="1" applyBorder="1" applyAlignment="1">
      <alignment vertical="top" wrapText="1"/>
    </xf>
    <xf numFmtId="192" fontId="5" fillId="33" borderId="0" xfId="0" applyNumberFormat="1" applyFont="1" applyFill="1" applyBorder="1" applyAlignment="1">
      <alignment horizontal="center" vertical="center"/>
    </xf>
    <xf numFmtId="192" fontId="5" fillId="33" borderId="0" xfId="0" applyNumberFormat="1" applyFont="1" applyFill="1" applyBorder="1" applyAlignment="1">
      <alignment horizontal="left" vertical="top" indent="15"/>
    </xf>
    <xf numFmtId="0" fontId="40" fillId="33" borderId="24" xfId="0" applyFont="1" applyFill="1" applyBorder="1" applyAlignment="1">
      <alignment vertical="top" wrapText="1"/>
    </xf>
    <xf numFmtId="0" fontId="0" fillId="0" borderId="24" xfId="0" applyBorder="1" applyAlignment="1">
      <alignment wrapText="1"/>
    </xf>
    <xf numFmtId="0" fontId="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40" fillId="33" borderId="0" xfId="0" applyFont="1" applyFill="1" applyBorder="1" applyAlignment="1">
      <alignment horizontal="left" vertical="top" wrapText="1"/>
    </xf>
    <xf numFmtId="0" fontId="2" fillId="36" borderId="0" xfId="0" applyFont="1" applyFill="1" applyBorder="1" applyAlignment="1" applyProtection="1">
      <alignment vertical="center"/>
      <protection locked="0"/>
    </xf>
    <xf numFmtId="0" fontId="2" fillId="36" borderId="0" xfId="0" applyFont="1" applyFill="1" applyBorder="1" applyAlignment="1" applyProtection="1">
      <alignment vertical="center"/>
      <protection locked="0"/>
    </xf>
    <xf numFmtId="0" fontId="40" fillId="33" borderId="50" xfId="0" applyFont="1" applyFill="1" applyBorder="1" applyAlignment="1">
      <alignment horizontal="left" vertical="top" wrapText="1"/>
    </xf>
    <xf numFmtId="0" fontId="42" fillId="33" borderId="0" xfId="0" applyFont="1" applyFill="1" applyBorder="1" applyAlignment="1">
      <alignment horizontal="left" vertical="top" wrapText="1"/>
    </xf>
    <xf numFmtId="0" fontId="40" fillId="33" borderId="21" xfId="0" applyFont="1" applyFill="1" applyBorder="1" applyAlignment="1">
      <alignment horizontal="left" vertical="top" wrapText="1"/>
    </xf>
    <xf numFmtId="0" fontId="40" fillId="33" borderId="11" xfId="0" applyFont="1" applyFill="1" applyBorder="1" applyAlignment="1">
      <alignment vertical="top" wrapText="1"/>
    </xf>
    <xf numFmtId="0" fontId="0" fillId="0" borderId="11" xfId="0" applyBorder="1" applyAlignment="1">
      <alignment wrapText="1"/>
    </xf>
    <xf numFmtId="0" fontId="30" fillId="34" borderId="4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89" formatCode="General\ &quot;m&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Efficiency: Actual vs Best Practice</a:t>
            </a:r>
          </a:p>
        </c:rich>
      </c:tx>
      <c:layout>
        <c:manualLayout>
          <c:xMode val="factor"/>
          <c:yMode val="factor"/>
          <c:x val="-0.00275"/>
          <c:y val="-0.01125"/>
        </c:manualLayout>
      </c:layout>
      <c:spPr>
        <a:noFill/>
        <a:ln>
          <a:noFill/>
        </a:ln>
      </c:spPr>
    </c:title>
    <c:plotArea>
      <c:layout>
        <c:manualLayout>
          <c:xMode val="edge"/>
          <c:yMode val="edge"/>
          <c:x val="0.03875"/>
          <c:y val="0.10175"/>
          <c:w val="0.92525"/>
          <c:h val="0.811"/>
        </c:manualLayout>
      </c:layout>
      <c:barChart>
        <c:barDir val="col"/>
        <c:grouping val="clustered"/>
        <c:varyColors val="0"/>
        <c:ser>
          <c:idx val="0"/>
          <c:order val="0"/>
          <c:tx>
            <c:strRef>
              <c:f>Summary!$E$8</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Summary!$C$10:$C$16</c:f>
              <c:strCache>
                <c:ptCount val="7"/>
                <c:pt idx="0">
                  <c:v>Motor Efficiency</c:v>
                </c:pt>
                <c:pt idx="2">
                  <c:v>Pump Hydraulic Efficiency</c:v>
                </c:pt>
                <c:pt idx="4">
                  <c:v>"Piping" Efficiency</c:v>
                </c:pt>
                <c:pt idx="6">
                  <c:v>Overall System Efficiency</c:v>
                </c:pt>
              </c:strCache>
            </c:strRef>
          </c:cat>
          <c:val>
            <c:numRef>
              <c:f>Summary!$E$10:$E$16</c:f>
              <c:numCache>
                <c:ptCount val="7"/>
                <c:pt idx="0">
                  <c:v>0</c:v>
                </c:pt>
                <c:pt idx="2">
                  <c:v>0</c:v>
                </c:pt>
                <c:pt idx="4">
                  <c:v>0</c:v>
                </c:pt>
                <c:pt idx="6">
                  <c:v>0</c:v>
                </c:pt>
              </c:numCache>
            </c:numRef>
          </c:val>
        </c:ser>
        <c:ser>
          <c:idx val="1"/>
          <c:order val="1"/>
          <c:tx>
            <c:strRef>
              <c:f>Summary!$F$8</c:f>
              <c:strCache>
                <c:ptCount val="1"/>
                <c:pt idx="0">
                  <c:v>Best Practice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Summary!$C$10:$C$16</c:f>
              <c:strCache>
                <c:ptCount val="7"/>
                <c:pt idx="0">
                  <c:v>Motor Efficiency</c:v>
                </c:pt>
                <c:pt idx="2">
                  <c:v>Pump Hydraulic Efficiency</c:v>
                </c:pt>
                <c:pt idx="4">
                  <c:v>"Piping" Efficiency</c:v>
                </c:pt>
                <c:pt idx="6">
                  <c:v>Overall System Efficiency</c:v>
                </c:pt>
              </c:strCache>
            </c:strRef>
          </c:cat>
          <c:val>
            <c:numRef>
              <c:f>Summary!$F$10:$F$16</c:f>
              <c:numCache>
                <c:ptCount val="7"/>
                <c:pt idx="0">
                  <c:v>0</c:v>
                </c:pt>
                <c:pt idx="2">
                  <c:v>0</c:v>
                </c:pt>
                <c:pt idx="4">
                  <c:v>0</c:v>
                </c:pt>
                <c:pt idx="6">
                  <c:v>0</c:v>
                </c:pt>
              </c:numCache>
            </c:numRef>
          </c:val>
        </c:ser>
        <c:overlap val="-17"/>
        <c:gapWidth val="0"/>
        <c:axId val="609186"/>
        <c:axId val="59091043"/>
      </c:barChart>
      <c:catAx>
        <c:axId val="609186"/>
        <c:scaling>
          <c:orientation val="minMax"/>
        </c:scaling>
        <c:axPos val="b"/>
        <c:delete val="0"/>
        <c:numFmt formatCode="General" sourceLinked="1"/>
        <c:majorTickMark val="none"/>
        <c:minorTickMark val="none"/>
        <c:tickLblPos val="nextTo"/>
        <c:spPr>
          <a:ln w="3175">
            <a:solidFill>
              <a:srgbClr val="808080"/>
            </a:solidFill>
          </a:ln>
        </c:spPr>
        <c:crossAx val="59091043"/>
        <c:crosses val="autoZero"/>
        <c:auto val="1"/>
        <c:lblOffset val="100"/>
        <c:tickLblSkip val="1"/>
        <c:noMultiLvlLbl val="0"/>
      </c:catAx>
      <c:valAx>
        <c:axId val="59091043"/>
        <c:scaling>
          <c:orientation val="minMax"/>
          <c:max val="1"/>
        </c:scaling>
        <c:axPos val="l"/>
        <c:delete val="0"/>
        <c:numFmt formatCode="General" sourceLinked="1"/>
        <c:majorTickMark val="out"/>
        <c:minorTickMark val="none"/>
        <c:tickLblPos val="nextTo"/>
        <c:spPr>
          <a:ln w="3175">
            <a:solidFill>
              <a:srgbClr val="808080"/>
            </a:solidFill>
          </a:ln>
        </c:spPr>
        <c:crossAx val="609186"/>
        <c:crossesAt val="1"/>
        <c:crossBetween val="between"/>
        <c:dispUnits/>
      </c:valAx>
      <c:spPr>
        <a:solidFill>
          <a:srgbClr val="FFFFFF"/>
        </a:solidFill>
        <a:ln w="3175">
          <a:noFill/>
        </a:ln>
      </c:spPr>
    </c:plotArea>
    <c:legend>
      <c:legendPos val="r"/>
      <c:layout>
        <c:manualLayout>
          <c:xMode val="edge"/>
          <c:yMode val="edge"/>
          <c:x val="0.27475"/>
          <c:y val="0.913"/>
          <c:w val="0.39375"/>
          <c:h val="0.0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Electrical Energy Breakdown</a:t>
            </a:r>
          </a:p>
        </c:rich>
      </c:tx>
      <c:layout>
        <c:manualLayout>
          <c:xMode val="factor"/>
          <c:yMode val="factor"/>
          <c:x val="-0.146"/>
          <c:y val="0.11425"/>
        </c:manualLayout>
      </c:layout>
      <c:spPr>
        <a:noFill/>
        <a:ln>
          <a:noFill/>
        </a:ln>
      </c:spPr>
    </c:title>
    <c:plotArea>
      <c:layout>
        <c:manualLayout>
          <c:xMode val="edge"/>
          <c:yMode val="edge"/>
          <c:x val="0.12225"/>
          <c:y val="0.39525"/>
          <c:w val="0.386"/>
          <c:h val="0.28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howLegendKey val="0"/>
            <c:showVal val="0"/>
            <c:showBubbleSize val="0"/>
            <c:showCatName val="0"/>
            <c:showSerName val="0"/>
            <c:showLeaderLines val="1"/>
            <c:showPercent val="1"/>
          </c:dLbls>
          <c:cat>
            <c:strRef>
              <c:f>'Fixed Data'!$N$2:$N$5</c:f>
              <c:strCache>
                <c:ptCount val="4"/>
                <c:pt idx="0">
                  <c:v>Motor Losses</c:v>
                </c:pt>
                <c:pt idx="1">
                  <c:v>Pumping Losses</c:v>
                </c:pt>
                <c:pt idx="2">
                  <c:v>Friction Losses</c:v>
                </c:pt>
                <c:pt idx="3">
                  <c:v>Useful work done</c:v>
                </c:pt>
              </c:strCache>
            </c:strRef>
          </c:cat>
          <c:val>
            <c:numRef>
              <c:f>'Fixed Data'!$O$2:$O$5</c:f>
              <c:numCache>
                <c:ptCount val="4"/>
                <c:pt idx="0">
                  <c:v>0</c:v>
                </c:pt>
                <c:pt idx="1">
                  <c:v>0</c:v>
                </c:pt>
                <c:pt idx="2">
                  <c:v>0</c:v>
                </c:pt>
                <c:pt idx="3">
                  <c:v>0</c:v>
                </c:pt>
              </c:numCache>
            </c:numRef>
          </c:val>
        </c:ser>
      </c:pieChart>
      <c:spPr>
        <a:noFill/>
        <a:ln>
          <a:noFill/>
        </a:ln>
      </c:spPr>
    </c:plotArea>
    <c:legend>
      <c:legendPos val="r"/>
      <c:layout>
        <c:manualLayout>
          <c:xMode val="edge"/>
          <c:yMode val="edge"/>
          <c:x val="0.02925"/>
          <c:y val="0.8405"/>
          <c:w val="0.72625"/>
          <c:h val="0.1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hyperlink" Target="http://www.aiea.ie/agencies/midlands_energy_agency" TargetMode="External" /><Relationship Id="rId4" Type="http://schemas.openxmlformats.org/officeDocument/2006/relationships/hyperlink" Target="http://www.aiea.ie/agencies/midlands_energy_agency" TargetMode="External" /><Relationship Id="rId5" Type="http://schemas.openxmlformats.org/officeDocument/2006/relationships/image" Target="../media/image9.jpeg" /><Relationship Id="rId6" Type="http://schemas.openxmlformats.org/officeDocument/2006/relationships/hyperlink" Target="http://www.tea.ie/" TargetMode="External" /><Relationship Id="rId7" Type="http://schemas.openxmlformats.org/officeDocument/2006/relationships/hyperlink" Target="http://www.tea.ie/" TargetMode="External"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kerrycoco.ie/en/" TargetMode="External" /><Relationship Id="rId11" Type="http://schemas.openxmlformats.org/officeDocument/2006/relationships/hyperlink" Target="http://www.kerrycoco.ie/en/"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hyperlink" Target="http://www.aiea.ie/agencies/midlands_energy_agency" TargetMode="External" /><Relationship Id="rId4" Type="http://schemas.openxmlformats.org/officeDocument/2006/relationships/hyperlink" Target="http://www.aiea.ie/agencies/midlands_energy_agency" TargetMode="External" /><Relationship Id="rId5" Type="http://schemas.openxmlformats.org/officeDocument/2006/relationships/image" Target="../media/image9.jpeg" /><Relationship Id="rId6" Type="http://schemas.openxmlformats.org/officeDocument/2006/relationships/hyperlink" Target="http://www.tea.ie/" TargetMode="External" /><Relationship Id="rId7" Type="http://schemas.openxmlformats.org/officeDocument/2006/relationships/hyperlink" Target="http://www.tea.ie/" TargetMode="External"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kerrycoco.ie/en/" TargetMode="External" /><Relationship Id="rId11" Type="http://schemas.openxmlformats.org/officeDocument/2006/relationships/hyperlink" Target="http://www.kerrycoco.ie/en/"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www.aiea.ie/agencies/midlands_energy_agency" TargetMode="External" /><Relationship Id="rId3" Type="http://schemas.openxmlformats.org/officeDocument/2006/relationships/hyperlink" Target="http://www.aiea.ie/agencies/midlands_energy_agency" TargetMode="External" /><Relationship Id="rId4" Type="http://schemas.openxmlformats.org/officeDocument/2006/relationships/image" Target="../media/image9.jpeg" /><Relationship Id="rId5" Type="http://schemas.openxmlformats.org/officeDocument/2006/relationships/hyperlink" Target="http://www.tea.ie/" TargetMode="External" /><Relationship Id="rId6" Type="http://schemas.openxmlformats.org/officeDocument/2006/relationships/hyperlink" Target="http://www.tea.ie/" TargetMode="External"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kerrycoco.ie/en/" TargetMode="External" /><Relationship Id="rId10" Type="http://schemas.openxmlformats.org/officeDocument/2006/relationships/hyperlink" Target="http://www.kerrycoco.ie/en/"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www.aiea.ie/agencies/midlands_energy_agency" TargetMode="External" /><Relationship Id="rId3" Type="http://schemas.openxmlformats.org/officeDocument/2006/relationships/hyperlink" Target="http://www.aiea.ie/agencies/midlands_energy_agency" TargetMode="External" /><Relationship Id="rId4" Type="http://schemas.openxmlformats.org/officeDocument/2006/relationships/image" Target="../media/image9.jpeg" /><Relationship Id="rId5" Type="http://schemas.openxmlformats.org/officeDocument/2006/relationships/hyperlink" Target="http://www.tea.ie/" TargetMode="External" /><Relationship Id="rId6" Type="http://schemas.openxmlformats.org/officeDocument/2006/relationships/hyperlink" Target="http://www.tea.ie/" TargetMode="External"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kerrycoco.ie/en/" TargetMode="External" /><Relationship Id="rId10" Type="http://schemas.openxmlformats.org/officeDocument/2006/relationships/hyperlink" Target="http://www.kerrycoco.ie/en/"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8.png" /><Relationship Id="rId4" Type="http://schemas.openxmlformats.org/officeDocument/2006/relationships/hyperlink" Target="http://www.aiea.ie/agencies/midlands_energy_agency" TargetMode="External" /><Relationship Id="rId5" Type="http://schemas.openxmlformats.org/officeDocument/2006/relationships/hyperlink" Target="http://www.aiea.ie/agencies/midlands_energy_agency" TargetMode="External" /><Relationship Id="rId6" Type="http://schemas.openxmlformats.org/officeDocument/2006/relationships/image" Target="../media/image9.jpeg" /><Relationship Id="rId7" Type="http://schemas.openxmlformats.org/officeDocument/2006/relationships/hyperlink" Target="http://www.tea.ie/" TargetMode="External" /><Relationship Id="rId8" Type="http://schemas.openxmlformats.org/officeDocument/2006/relationships/hyperlink" Target="http://www.tea.ie/" TargetMode="External"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hyperlink" Target="http://www.kerrycoco.ie/en/" TargetMode="External" /><Relationship Id="rId12" Type="http://schemas.openxmlformats.org/officeDocument/2006/relationships/hyperlink" Target="http://www.kerrycoco.ie/en/"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www.aiea.ie/agencies/midlands_energy_agency" TargetMode="External" /><Relationship Id="rId3" Type="http://schemas.openxmlformats.org/officeDocument/2006/relationships/hyperlink" Target="http://www.aiea.ie/agencies/midlands_energy_agency" TargetMode="External" /><Relationship Id="rId4" Type="http://schemas.openxmlformats.org/officeDocument/2006/relationships/image" Target="../media/image9.jpeg" /><Relationship Id="rId5" Type="http://schemas.openxmlformats.org/officeDocument/2006/relationships/hyperlink" Target="http://www.tea.ie/" TargetMode="External" /><Relationship Id="rId6" Type="http://schemas.openxmlformats.org/officeDocument/2006/relationships/hyperlink" Target="http://www.tea.ie/" TargetMode="External" /><Relationship Id="rId7" Type="http://schemas.openxmlformats.org/officeDocument/2006/relationships/image" Target="../media/image11.png" /><Relationship Id="rId8" Type="http://schemas.openxmlformats.org/officeDocument/2006/relationships/hyperlink" Target="http://www.kerrycoco.ie/en/" TargetMode="External" /><Relationship Id="rId9" Type="http://schemas.openxmlformats.org/officeDocument/2006/relationships/hyperlink" Target="http://www.kerrycoco.ie/en/"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28575</xdr:rowOff>
    </xdr:from>
    <xdr:to>
      <xdr:col>5</xdr:col>
      <xdr:colOff>9525</xdr:colOff>
      <xdr:row>3</xdr:row>
      <xdr:rowOff>247650</xdr:rowOff>
    </xdr:to>
    <xdr:pic>
      <xdr:nvPicPr>
        <xdr:cNvPr id="1" name="Picture 7" descr="SEI logo"/>
        <xdr:cNvPicPr preferRelativeResize="1">
          <a:picLocks noChangeAspect="1"/>
        </xdr:cNvPicPr>
      </xdr:nvPicPr>
      <xdr:blipFill>
        <a:blip r:embed="rId1"/>
        <a:stretch>
          <a:fillRect/>
        </a:stretch>
      </xdr:blipFill>
      <xdr:spPr>
        <a:xfrm>
          <a:off x="5895975" y="123825"/>
          <a:ext cx="9525" cy="571500"/>
        </a:xfrm>
        <a:prstGeom prst="rect">
          <a:avLst/>
        </a:prstGeom>
        <a:noFill/>
        <a:ln w="9525" cmpd="sng">
          <a:noFill/>
        </a:ln>
      </xdr:spPr>
    </xdr:pic>
    <xdr:clientData/>
  </xdr:twoCellAnchor>
  <xdr:twoCellAnchor editAs="oneCell">
    <xdr:from>
      <xdr:col>3</xdr:col>
      <xdr:colOff>1095375</xdr:colOff>
      <xdr:row>13</xdr:row>
      <xdr:rowOff>457200</xdr:rowOff>
    </xdr:from>
    <xdr:to>
      <xdr:col>3</xdr:col>
      <xdr:colOff>3876675</xdr:colOff>
      <xdr:row>13</xdr:row>
      <xdr:rowOff>752475</xdr:rowOff>
    </xdr:to>
    <xdr:pic>
      <xdr:nvPicPr>
        <xdr:cNvPr id="2" name="Picture 6">
          <a:hlinkClick r:id="rId4"/>
        </xdr:cNvPr>
        <xdr:cNvPicPr preferRelativeResize="1">
          <a:picLocks noChangeAspect="1"/>
        </xdr:cNvPicPr>
      </xdr:nvPicPr>
      <xdr:blipFill>
        <a:blip r:embed="rId2"/>
        <a:srcRect l="378" t="11764" r="9074" b="5882"/>
        <a:stretch>
          <a:fillRect/>
        </a:stretch>
      </xdr:blipFill>
      <xdr:spPr>
        <a:xfrm>
          <a:off x="1381125" y="5076825"/>
          <a:ext cx="2781300" cy="295275"/>
        </a:xfrm>
        <a:prstGeom prst="rect">
          <a:avLst/>
        </a:prstGeom>
        <a:noFill/>
        <a:ln w="9525" cmpd="sng">
          <a:noFill/>
        </a:ln>
      </xdr:spPr>
    </xdr:pic>
    <xdr:clientData/>
  </xdr:twoCellAnchor>
  <xdr:twoCellAnchor editAs="oneCell">
    <xdr:from>
      <xdr:col>1</xdr:col>
      <xdr:colOff>66675</xdr:colOff>
      <xdr:row>13</xdr:row>
      <xdr:rowOff>409575</xdr:rowOff>
    </xdr:from>
    <xdr:to>
      <xdr:col>3</xdr:col>
      <xdr:colOff>838200</xdr:colOff>
      <xdr:row>13</xdr:row>
      <xdr:rowOff>819150</xdr:rowOff>
    </xdr:to>
    <xdr:pic>
      <xdr:nvPicPr>
        <xdr:cNvPr id="3" name="Picture 7" descr="http://profile.ak.fbcdn.net/object3/426/104/n129598759409_2759.jpg">
          <a:hlinkClick r:id="rId7"/>
        </xdr:cNvPr>
        <xdr:cNvPicPr preferRelativeResize="1">
          <a:picLocks noChangeAspect="1"/>
        </xdr:cNvPicPr>
      </xdr:nvPicPr>
      <xdr:blipFill>
        <a:blip r:embed="rId5"/>
        <a:srcRect b="8403"/>
        <a:stretch>
          <a:fillRect/>
        </a:stretch>
      </xdr:blipFill>
      <xdr:spPr>
        <a:xfrm>
          <a:off x="161925" y="5029200"/>
          <a:ext cx="962025" cy="409575"/>
        </a:xfrm>
        <a:prstGeom prst="rect">
          <a:avLst/>
        </a:prstGeom>
        <a:noFill/>
        <a:ln w="9525" cmpd="sng">
          <a:noFill/>
        </a:ln>
      </xdr:spPr>
    </xdr:pic>
    <xdr:clientData/>
  </xdr:twoCellAnchor>
  <xdr:twoCellAnchor>
    <xdr:from>
      <xdr:col>3</xdr:col>
      <xdr:colOff>3686175</xdr:colOff>
      <xdr:row>1</xdr:row>
      <xdr:rowOff>47625</xdr:rowOff>
    </xdr:from>
    <xdr:to>
      <xdr:col>5</xdr:col>
      <xdr:colOff>28575</xdr:colOff>
      <xdr:row>4</xdr:row>
      <xdr:rowOff>0</xdr:rowOff>
    </xdr:to>
    <xdr:pic>
      <xdr:nvPicPr>
        <xdr:cNvPr id="4" name="Picture 650"/>
        <xdr:cNvPicPr preferRelativeResize="1">
          <a:picLocks noChangeAspect="1"/>
        </xdr:cNvPicPr>
      </xdr:nvPicPr>
      <xdr:blipFill>
        <a:blip r:embed="rId8"/>
        <a:srcRect l="3364" t="18461" r="58473" b="73396"/>
        <a:stretch>
          <a:fillRect/>
        </a:stretch>
      </xdr:blipFill>
      <xdr:spPr>
        <a:xfrm>
          <a:off x="3971925" y="142875"/>
          <a:ext cx="1952625" cy="571500"/>
        </a:xfrm>
        <a:prstGeom prst="rect">
          <a:avLst/>
        </a:prstGeom>
        <a:noFill/>
        <a:ln w="9525" cmpd="sng">
          <a:noFill/>
        </a:ln>
      </xdr:spPr>
    </xdr:pic>
    <xdr:clientData/>
  </xdr:twoCellAnchor>
  <xdr:twoCellAnchor>
    <xdr:from>
      <xdr:col>3</xdr:col>
      <xdr:colOff>4210050</xdr:colOff>
      <xdr:row>13</xdr:row>
      <xdr:rowOff>257175</xdr:rowOff>
    </xdr:from>
    <xdr:to>
      <xdr:col>3</xdr:col>
      <xdr:colOff>4772025</xdr:colOff>
      <xdr:row>13</xdr:row>
      <xdr:rowOff>885825</xdr:rowOff>
    </xdr:to>
    <xdr:pic>
      <xdr:nvPicPr>
        <xdr:cNvPr id="5" name="Picture 653" descr="kerrycocologo">
          <a:hlinkClick r:id="rId11"/>
        </xdr:cNvPr>
        <xdr:cNvPicPr preferRelativeResize="1">
          <a:picLocks noChangeAspect="1"/>
        </xdr:cNvPicPr>
      </xdr:nvPicPr>
      <xdr:blipFill>
        <a:blip r:embed="rId9"/>
        <a:srcRect l="10256" t="5790" r="14102"/>
        <a:stretch>
          <a:fillRect/>
        </a:stretch>
      </xdr:blipFill>
      <xdr:spPr>
        <a:xfrm>
          <a:off x="4495800" y="4876800"/>
          <a:ext cx="5619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28575</xdr:rowOff>
    </xdr:from>
    <xdr:to>
      <xdr:col>6</xdr:col>
      <xdr:colOff>9525</xdr:colOff>
      <xdr:row>3</xdr:row>
      <xdr:rowOff>247650</xdr:rowOff>
    </xdr:to>
    <xdr:pic>
      <xdr:nvPicPr>
        <xdr:cNvPr id="1" name="Picture 7" descr="SEI logo"/>
        <xdr:cNvPicPr preferRelativeResize="1">
          <a:picLocks noChangeAspect="1"/>
        </xdr:cNvPicPr>
      </xdr:nvPicPr>
      <xdr:blipFill>
        <a:blip r:embed="rId1"/>
        <a:stretch>
          <a:fillRect/>
        </a:stretch>
      </xdr:blipFill>
      <xdr:spPr>
        <a:xfrm>
          <a:off x="8610600" y="133350"/>
          <a:ext cx="9525" cy="571500"/>
        </a:xfrm>
        <a:prstGeom prst="rect">
          <a:avLst/>
        </a:prstGeom>
        <a:noFill/>
        <a:ln w="9525" cmpd="sng">
          <a:noFill/>
        </a:ln>
      </xdr:spPr>
    </xdr:pic>
    <xdr:clientData/>
  </xdr:twoCellAnchor>
  <xdr:twoCellAnchor editAs="oneCell">
    <xdr:from>
      <xdr:col>3</xdr:col>
      <xdr:colOff>285750</xdr:colOff>
      <xdr:row>61</xdr:row>
      <xdr:rowOff>152400</xdr:rowOff>
    </xdr:from>
    <xdr:to>
      <xdr:col>4</xdr:col>
      <xdr:colOff>1581150</xdr:colOff>
      <xdr:row>63</xdr:row>
      <xdr:rowOff>66675</xdr:rowOff>
    </xdr:to>
    <xdr:pic>
      <xdr:nvPicPr>
        <xdr:cNvPr id="2" name="Picture 6">
          <a:hlinkClick r:id="rId4"/>
        </xdr:cNvPr>
        <xdr:cNvPicPr preferRelativeResize="1">
          <a:picLocks noChangeAspect="1"/>
        </xdr:cNvPicPr>
      </xdr:nvPicPr>
      <xdr:blipFill>
        <a:blip r:embed="rId2"/>
        <a:srcRect l="378" t="11764" r="9074" b="5882"/>
        <a:stretch>
          <a:fillRect/>
        </a:stretch>
      </xdr:blipFill>
      <xdr:spPr>
        <a:xfrm>
          <a:off x="1162050" y="23193375"/>
          <a:ext cx="2771775" cy="295275"/>
        </a:xfrm>
        <a:prstGeom prst="rect">
          <a:avLst/>
        </a:prstGeom>
        <a:noFill/>
        <a:ln w="9525" cmpd="sng">
          <a:noFill/>
        </a:ln>
      </xdr:spPr>
    </xdr:pic>
    <xdr:clientData/>
  </xdr:twoCellAnchor>
  <xdr:twoCellAnchor editAs="oneCell">
    <xdr:from>
      <xdr:col>1</xdr:col>
      <xdr:colOff>28575</xdr:colOff>
      <xdr:row>61</xdr:row>
      <xdr:rowOff>57150</xdr:rowOff>
    </xdr:from>
    <xdr:to>
      <xdr:col>3</xdr:col>
      <xdr:colOff>228600</xdr:colOff>
      <xdr:row>63</xdr:row>
      <xdr:rowOff>85725</xdr:rowOff>
    </xdr:to>
    <xdr:pic>
      <xdr:nvPicPr>
        <xdr:cNvPr id="3" name="Picture 7" descr="http://profile.ak.fbcdn.net/object3/426/104/n129598759409_2759.jpg">
          <a:hlinkClick r:id="rId7"/>
        </xdr:cNvPr>
        <xdr:cNvPicPr preferRelativeResize="1">
          <a:picLocks noChangeAspect="1"/>
        </xdr:cNvPicPr>
      </xdr:nvPicPr>
      <xdr:blipFill>
        <a:blip r:embed="rId5"/>
        <a:srcRect b="8403"/>
        <a:stretch>
          <a:fillRect/>
        </a:stretch>
      </xdr:blipFill>
      <xdr:spPr>
        <a:xfrm>
          <a:off x="142875" y="23098125"/>
          <a:ext cx="962025" cy="409575"/>
        </a:xfrm>
        <a:prstGeom prst="rect">
          <a:avLst/>
        </a:prstGeom>
        <a:noFill/>
        <a:ln w="9525" cmpd="sng">
          <a:noFill/>
        </a:ln>
      </xdr:spPr>
    </xdr:pic>
    <xdr:clientData/>
  </xdr:twoCellAnchor>
  <xdr:twoCellAnchor>
    <xdr:from>
      <xdr:col>4</xdr:col>
      <xdr:colOff>4333875</xdr:colOff>
      <xdr:row>1</xdr:row>
      <xdr:rowOff>47625</xdr:rowOff>
    </xdr:from>
    <xdr:to>
      <xdr:col>6</xdr:col>
      <xdr:colOff>28575</xdr:colOff>
      <xdr:row>4</xdr:row>
      <xdr:rowOff>0</xdr:rowOff>
    </xdr:to>
    <xdr:pic>
      <xdr:nvPicPr>
        <xdr:cNvPr id="4" name="Picture 625"/>
        <xdr:cNvPicPr preferRelativeResize="1">
          <a:picLocks noChangeAspect="1"/>
        </xdr:cNvPicPr>
      </xdr:nvPicPr>
      <xdr:blipFill>
        <a:blip r:embed="rId8"/>
        <a:srcRect l="3364" t="18461" r="58473" b="73396"/>
        <a:stretch>
          <a:fillRect/>
        </a:stretch>
      </xdr:blipFill>
      <xdr:spPr>
        <a:xfrm>
          <a:off x="6686550" y="152400"/>
          <a:ext cx="1952625" cy="571500"/>
        </a:xfrm>
        <a:prstGeom prst="rect">
          <a:avLst/>
        </a:prstGeom>
        <a:noFill/>
        <a:ln w="9525" cmpd="sng">
          <a:noFill/>
        </a:ln>
      </xdr:spPr>
    </xdr:pic>
    <xdr:clientData/>
  </xdr:twoCellAnchor>
  <xdr:twoCellAnchor>
    <xdr:from>
      <xdr:col>4</xdr:col>
      <xdr:colOff>1714500</xdr:colOff>
      <xdr:row>61</xdr:row>
      <xdr:rowOff>19050</xdr:rowOff>
    </xdr:from>
    <xdr:to>
      <xdr:col>4</xdr:col>
      <xdr:colOff>2276475</xdr:colOff>
      <xdr:row>64</xdr:row>
      <xdr:rowOff>76200</xdr:rowOff>
    </xdr:to>
    <xdr:pic>
      <xdr:nvPicPr>
        <xdr:cNvPr id="5" name="Picture 626" descr="kerrycocologo">
          <a:hlinkClick r:id="rId11"/>
        </xdr:cNvPr>
        <xdr:cNvPicPr preferRelativeResize="1">
          <a:picLocks noChangeAspect="1"/>
        </xdr:cNvPicPr>
      </xdr:nvPicPr>
      <xdr:blipFill>
        <a:blip r:embed="rId9"/>
        <a:srcRect l="10256" t="5790" r="14102"/>
        <a:stretch>
          <a:fillRect/>
        </a:stretch>
      </xdr:blipFill>
      <xdr:spPr>
        <a:xfrm>
          <a:off x="4067175" y="23060025"/>
          <a:ext cx="5619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1743075</xdr:colOff>
      <xdr:row>133</xdr:row>
      <xdr:rowOff>381000</xdr:rowOff>
    </xdr:from>
    <xdr:to>
      <xdr:col>7</xdr:col>
      <xdr:colOff>923925</xdr:colOff>
      <xdr:row>133</xdr:row>
      <xdr:rowOff>676275</xdr:rowOff>
    </xdr:to>
    <xdr:pic>
      <xdr:nvPicPr>
        <xdr:cNvPr id="1" name="Picture 6">
          <a:hlinkClick r:id="rId3"/>
        </xdr:cNvPr>
        <xdr:cNvPicPr preferRelativeResize="1">
          <a:picLocks noChangeAspect="1"/>
        </xdr:cNvPicPr>
      </xdr:nvPicPr>
      <xdr:blipFill>
        <a:blip r:embed="rId1"/>
        <a:srcRect l="378" t="11764" r="9074" b="5882"/>
        <a:stretch>
          <a:fillRect/>
        </a:stretch>
      </xdr:blipFill>
      <xdr:spPr>
        <a:xfrm>
          <a:off x="2000250" y="22107525"/>
          <a:ext cx="2762250" cy="295275"/>
        </a:xfrm>
        <a:prstGeom prst="rect">
          <a:avLst/>
        </a:prstGeom>
        <a:noFill/>
        <a:ln w="9525" cmpd="sng">
          <a:noFill/>
        </a:ln>
      </xdr:spPr>
    </xdr:pic>
    <xdr:clientData/>
  </xdr:twoCellAnchor>
  <xdr:twoCellAnchor editAs="oneCell">
    <xdr:from>
      <xdr:col>1</xdr:col>
      <xdr:colOff>47625</xdr:colOff>
      <xdr:row>133</xdr:row>
      <xdr:rowOff>285750</xdr:rowOff>
    </xdr:from>
    <xdr:to>
      <xdr:col>3</xdr:col>
      <xdr:colOff>885825</xdr:colOff>
      <xdr:row>133</xdr:row>
      <xdr:rowOff>695325</xdr:rowOff>
    </xdr:to>
    <xdr:pic>
      <xdr:nvPicPr>
        <xdr:cNvPr id="2" name="Picture 7" descr="http://profile.ak.fbcdn.net/object3/426/104/n129598759409_2759.jpg">
          <a:hlinkClick r:id="rId6"/>
        </xdr:cNvPr>
        <xdr:cNvPicPr preferRelativeResize="1">
          <a:picLocks noChangeAspect="1"/>
        </xdr:cNvPicPr>
      </xdr:nvPicPr>
      <xdr:blipFill>
        <a:blip r:embed="rId4"/>
        <a:srcRect b="8403"/>
        <a:stretch>
          <a:fillRect/>
        </a:stretch>
      </xdr:blipFill>
      <xdr:spPr>
        <a:xfrm>
          <a:off x="180975" y="22012275"/>
          <a:ext cx="962025" cy="409575"/>
        </a:xfrm>
        <a:prstGeom prst="rect">
          <a:avLst/>
        </a:prstGeom>
        <a:noFill/>
        <a:ln w="9525" cmpd="sng">
          <a:noFill/>
        </a:ln>
      </xdr:spPr>
    </xdr:pic>
    <xdr:clientData/>
  </xdr:twoCellAnchor>
  <xdr:twoCellAnchor>
    <xdr:from>
      <xdr:col>7</xdr:col>
      <xdr:colOff>2247900</xdr:colOff>
      <xdr:row>1</xdr:row>
      <xdr:rowOff>28575</xdr:rowOff>
    </xdr:from>
    <xdr:to>
      <xdr:col>9</xdr:col>
      <xdr:colOff>28575</xdr:colOff>
      <xdr:row>3</xdr:row>
      <xdr:rowOff>247650</xdr:rowOff>
    </xdr:to>
    <xdr:pic>
      <xdr:nvPicPr>
        <xdr:cNvPr id="3" name="Picture 615"/>
        <xdr:cNvPicPr preferRelativeResize="1">
          <a:picLocks noChangeAspect="1"/>
        </xdr:cNvPicPr>
      </xdr:nvPicPr>
      <xdr:blipFill>
        <a:blip r:embed="rId7"/>
        <a:srcRect l="3364" t="18461" r="58473" b="73396"/>
        <a:stretch>
          <a:fillRect/>
        </a:stretch>
      </xdr:blipFill>
      <xdr:spPr>
        <a:xfrm>
          <a:off x="6086475" y="171450"/>
          <a:ext cx="1952625" cy="571500"/>
        </a:xfrm>
        <a:prstGeom prst="rect">
          <a:avLst/>
        </a:prstGeom>
        <a:noFill/>
        <a:ln w="9525" cmpd="sng">
          <a:noFill/>
        </a:ln>
      </xdr:spPr>
    </xdr:pic>
    <xdr:clientData/>
  </xdr:twoCellAnchor>
  <xdr:twoCellAnchor>
    <xdr:from>
      <xdr:col>7</xdr:col>
      <xdr:colOff>1762125</xdr:colOff>
      <xdr:row>133</xdr:row>
      <xdr:rowOff>257175</xdr:rowOff>
    </xdr:from>
    <xdr:to>
      <xdr:col>7</xdr:col>
      <xdr:colOff>2324100</xdr:colOff>
      <xdr:row>133</xdr:row>
      <xdr:rowOff>885825</xdr:rowOff>
    </xdr:to>
    <xdr:pic>
      <xdr:nvPicPr>
        <xdr:cNvPr id="4" name="Picture 616" descr="kerrycocologo">
          <a:hlinkClick r:id="rId10"/>
        </xdr:cNvPr>
        <xdr:cNvPicPr preferRelativeResize="1">
          <a:picLocks noChangeAspect="1"/>
        </xdr:cNvPicPr>
      </xdr:nvPicPr>
      <xdr:blipFill>
        <a:blip r:embed="rId8"/>
        <a:srcRect l="10256" t="5790" r="14102"/>
        <a:stretch>
          <a:fillRect/>
        </a:stretch>
      </xdr:blipFill>
      <xdr:spPr>
        <a:xfrm>
          <a:off x="5600700" y="21983700"/>
          <a:ext cx="5619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55</xdr:row>
      <xdr:rowOff>371475</xdr:rowOff>
    </xdr:from>
    <xdr:to>
      <xdr:col>6</xdr:col>
      <xdr:colOff>876300</xdr:colOff>
      <xdr:row>55</xdr:row>
      <xdr:rowOff>666750</xdr:rowOff>
    </xdr:to>
    <xdr:pic>
      <xdr:nvPicPr>
        <xdr:cNvPr id="1" name="Picture 6">
          <a:hlinkClick r:id="rId3"/>
        </xdr:cNvPr>
        <xdr:cNvPicPr preferRelativeResize="1">
          <a:picLocks noChangeAspect="1"/>
        </xdr:cNvPicPr>
      </xdr:nvPicPr>
      <xdr:blipFill>
        <a:blip r:embed="rId1"/>
        <a:srcRect l="378" t="11764" r="9074" b="5882"/>
        <a:stretch>
          <a:fillRect/>
        </a:stretch>
      </xdr:blipFill>
      <xdr:spPr>
        <a:xfrm>
          <a:off x="1666875" y="7524750"/>
          <a:ext cx="2771775" cy="295275"/>
        </a:xfrm>
        <a:prstGeom prst="rect">
          <a:avLst/>
        </a:prstGeom>
        <a:noFill/>
        <a:ln w="9525" cmpd="sng">
          <a:noFill/>
        </a:ln>
      </xdr:spPr>
    </xdr:pic>
    <xdr:clientData/>
  </xdr:twoCellAnchor>
  <xdr:twoCellAnchor editAs="oneCell">
    <xdr:from>
      <xdr:col>2</xdr:col>
      <xdr:colOff>419100</xdr:colOff>
      <xdr:row>55</xdr:row>
      <xdr:rowOff>276225</xdr:rowOff>
    </xdr:from>
    <xdr:to>
      <xdr:col>2</xdr:col>
      <xdr:colOff>1381125</xdr:colOff>
      <xdr:row>55</xdr:row>
      <xdr:rowOff>685800</xdr:rowOff>
    </xdr:to>
    <xdr:pic>
      <xdr:nvPicPr>
        <xdr:cNvPr id="2" name="Picture 7" descr="http://profile.ak.fbcdn.net/object3/426/104/n129598759409_2759.jpg">
          <a:hlinkClick r:id="rId6"/>
        </xdr:cNvPr>
        <xdr:cNvPicPr preferRelativeResize="1">
          <a:picLocks noChangeAspect="1"/>
        </xdr:cNvPicPr>
      </xdr:nvPicPr>
      <xdr:blipFill>
        <a:blip r:embed="rId4"/>
        <a:srcRect b="8403"/>
        <a:stretch>
          <a:fillRect/>
        </a:stretch>
      </xdr:blipFill>
      <xdr:spPr>
        <a:xfrm>
          <a:off x="552450" y="7429500"/>
          <a:ext cx="962025" cy="409575"/>
        </a:xfrm>
        <a:prstGeom prst="rect">
          <a:avLst/>
        </a:prstGeom>
        <a:noFill/>
        <a:ln w="9525" cmpd="sng">
          <a:noFill/>
        </a:ln>
      </xdr:spPr>
    </xdr:pic>
    <xdr:clientData/>
  </xdr:twoCellAnchor>
  <xdr:twoCellAnchor>
    <xdr:from>
      <xdr:col>6</xdr:col>
      <xdr:colOff>619125</xdr:colOff>
      <xdr:row>1</xdr:row>
      <xdr:rowOff>28575</xdr:rowOff>
    </xdr:from>
    <xdr:to>
      <xdr:col>8</xdr:col>
      <xdr:colOff>47625</xdr:colOff>
      <xdr:row>3</xdr:row>
      <xdr:rowOff>247650</xdr:rowOff>
    </xdr:to>
    <xdr:pic>
      <xdr:nvPicPr>
        <xdr:cNvPr id="3" name="Picture 487"/>
        <xdr:cNvPicPr preferRelativeResize="1">
          <a:picLocks noChangeAspect="1"/>
        </xdr:cNvPicPr>
      </xdr:nvPicPr>
      <xdr:blipFill>
        <a:blip r:embed="rId7"/>
        <a:srcRect l="3364" t="18461" r="58473" b="73396"/>
        <a:stretch>
          <a:fillRect/>
        </a:stretch>
      </xdr:blipFill>
      <xdr:spPr>
        <a:xfrm>
          <a:off x="4181475" y="142875"/>
          <a:ext cx="1952625" cy="571500"/>
        </a:xfrm>
        <a:prstGeom prst="rect">
          <a:avLst/>
        </a:prstGeom>
        <a:noFill/>
        <a:ln w="9525" cmpd="sng">
          <a:noFill/>
        </a:ln>
      </xdr:spPr>
    </xdr:pic>
    <xdr:clientData/>
  </xdr:twoCellAnchor>
  <xdr:twoCellAnchor>
    <xdr:from>
      <xdr:col>6</xdr:col>
      <xdr:colOff>1066800</xdr:colOff>
      <xdr:row>55</xdr:row>
      <xdr:rowOff>209550</xdr:rowOff>
    </xdr:from>
    <xdr:to>
      <xdr:col>7</xdr:col>
      <xdr:colOff>352425</xdr:colOff>
      <xdr:row>55</xdr:row>
      <xdr:rowOff>838200</xdr:rowOff>
    </xdr:to>
    <xdr:pic>
      <xdr:nvPicPr>
        <xdr:cNvPr id="4" name="Picture 488" descr="kerrycocologo">
          <a:hlinkClick r:id="rId10"/>
        </xdr:cNvPr>
        <xdr:cNvPicPr preferRelativeResize="1">
          <a:picLocks noChangeAspect="1"/>
        </xdr:cNvPicPr>
      </xdr:nvPicPr>
      <xdr:blipFill>
        <a:blip r:embed="rId8"/>
        <a:srcRect l="10256" t="5790" r="14102"/>
        <a:stretch>
          <a:fillRect/>
        </a:stretch>
      </xdr:blipFill>
      <xdr:spPr>
        <a:xfrm>
          <a:off x="4629150" y="7362825"/>
          <a:ext cx="56197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17</xdr:row>
      <xdr:rowOff>190500</xdr:rowOff>
    </xdr:from>
    <xdr:to>
      <xdr:col>4</xdr:col>
      <xdr:colOff>1219200</xdr:colOff>
      <xdr:row>31</xdr:row>
      <xdr:rowOff>0</xdr:rowOff>
    </xdr:to>
    <xdr:grpSp>
      <xdr:nvGrpSpPr>
        <xdr:cNvPr id="1" name="Group 31"/>
        <xdr:cNvGrpSpPr>
          <a:grpSpLocks/>
        </xdr:cNvGrpSpPr>
      </xdr:nvGrpSpPr>
      <xdr:grpSpPr>
        <a:xfrm>
          <a:off x="314325" y="3648075"/>
          <a:ext cx="3028950" cy="3095625"/>
          <a:chOff x="1422" y="435"/>
          <a:chExt cx="220" cy="281"/>
        </a:xfrm>
        <a:solidFill>
          <a:srgbClr val="FFFFFF"/>
        </a:solidFill>
      </xdr:grpSpPr>
      <xdr:sp>
        <xdr:nvSpPr>
          <xdr:cNvPr id="2" name="Freeform 16"/>
          <xdr:cNvSpPr>
            <a:spLocks/>
          </xdr:cNvSpPr>
        </xdr:nvSpPr>
        <xdr:spPr>
          <a:xfrm>
            <a:off x="1422" y="435"/>
            <a:ext cx="76" cy="30"/>
          </a:xfrm>
          <a:custGeom>
            <a:pathLst>
              <a:path h="30" w="76">
                <a:moveTo>
                  <a:pt x="0" y="0"/>
                </a:moveTo>
                <a:lnTo>
                  <a:pt x="53" y="0"/>
                </a:lnTo>
                <a:lnTo>
                  <a:pt x="76" y="13"/>
                </a:lnTo>
                <a:lnTo>
                  <a:pt x="53" y="30"/>
                </a:lnTo>
                <a:lnTo>
                  <a:pt x="0" y="30"/>
                </a:lnTo>
                <a:lnTo>
                  <a:pt x="0" y="0"/>
                </a:lnTo>
                <a:close/>
              </a:path>
            </a:pathLst>
          </a:custGeom>
          <a:solidFill>
            <a:srgbClr val="00FF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17"/>
          <xdr:cNvSpPr>
            <a:spLocks/>
          </xdr:cNvSpPr>
        </xdr:nvSpPr>
        <xdr:spPr>
          <a:xfrm>
            <a:off x="1447" y="478"/>
            <a:ext cx="76" cy="31"/>
          </a:xfrm>
          <a:custGeom>
            <a:pathLst>
              <a:path h="30" w="76">
                <a:moveTo>
                  <a:pt x="0" y="0"/>
                </a:moveTo>
                <a:lnTo>
                  <a:pt x="53" y="0"/>
                </a:lnTo>
                <a:lnTo>
                  <a:pt x="76" y="13"/>
                </a:lnTo>
                <a:lnTo>
                  <a:pt x="53" y="30"/>
                </a:lnTo>
                <a:lnTo>
                  <a:pt x="0" y="30"/>
                </a:lnTo>
                <a:lnTo>
                  <a:pt x="0" y="0"/>
                </a:lnTo>
                <a:close/>
              </a:path>
            </a:pathLst>
          </a:custGeom>
          <a:solidFill>
            <a:srgbClr val="99CC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Freeform 18"/>
          <xdr:cNvSpPr>
            <a:spLocks/>
          </xdr:cNvSpPr>
        </xdr:nvSpPr>
        <xdr:spPr>
          <a:xfrm>
            <a:off x="1472" y="522"/>
            <a:ext cx="76" cy="30"/>
          </a:xfrm>
          <a:custGeom>
            <a:pathLst>
              <a:path h="30" w="76">
                <a:moveTo>
                  <a:pt x="0" y="0"/>
                </a:moveTo>
                <a:lnTo>
                  <a:pt x="53" y="0"/>
                </a:lnTo>
                <a:lnTo>
                  <a:pt x="76" y="13"/>
                </a:lnTo>
                <a:lnTo>
                  <a:pt x="53" y="30"/>
                </a:lnTo>
                <a:lnTo>
                  <a:pt x="0" y="30"/>
                </a:lnTo>
                <a:lnTo>
                  <a:pt x="0" y="0"/>
                </a:lnTo>
                <a:close/>
              </a:path>
            </a:pathLst>
          </a:custGeom>
          <a:solidFill>
            <a:srgbClr val="33996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Freeform 19"/>
          <xdr:cNvSpPr>
            <a:spLocks/>
          </xdr:cNvSpPr>
        </xdr:nvSpPr>
        <xdr:spPr>
          <a:xfrm>
            <a:off x="1495" y="561"/>
            <a:ext cx="76" cy="29"/>
          </a:xfrm>
          <a:custGeom>
            <a:pathLst>
              <a:path h="30" w="76">
                <a:moveTo>
                  <a:pt x="0" y="0"/>
                </a:moveTo>
                <a:lnTo>
                  <a:pt x="53" y="0"/>
                </a:lnTo>
                <a:lnTo>
                  <a:pt x="76" y="13"/>
                </a:lnTo>
                <a:lnTo>
                  <a:pt x="53" y="30"/>
                </a:lnTo>
                <a:lnTo>
                  <a:pt x="0" y="30"/>
                </a:lnTo>
                <a:lnTo>
                  <a:pt x="0" y="0"/>
                </a:lnTo>
                <a:close/>
              </a:path>
            </a:pathLst>
          </a:cu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Freeform 20"/>
          <xdr:cNvSpPr>
            <a:spLocks/>
          </xdr:cNvSpPr>
        </xdr:nvSpPr>
        <xdr:spPr>
          <a:xfrm>
            <a:off x="1519" y="603"/>
            <a:ext cx="76" cy="30"/>
          </a:xfrm>
          <a:custGeom>
            <a:pathLst>
              <a:path h="30" w="76">
                <a:moveTo>
                  <a:pt x="0" y="0"/>
                </a:moveTo>
                <a:lnTo>
                  <a:pt x="53" y="0"/>
                </a:lnTo>
                <a:lnTo>
                  <a:pt x="76" y="13"/>
                </a:lnTo>
                <a:lnTo>
                  <a:pt x="53" y="30"/>
                </a:lnTo>
                <a:lnTo>
                  <a:pt x="0" y="30"/>
                </a:lnTo>
                <a:lnTo>
                  <a:pt x="0" y="0"/>
                </a:lnTo>
                <a:close/>
              </a:path>
            </a:pathLst>
          </a:custGeom>
          <a:solidFill>
            <a:srgbClr val="FFCC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Freeform 21"/>
          <xdr:cNvSpPr>
            <a:spLocks/>
          </xdr:cNvSpPr>
        </xdr:nvSpPr>
        <xdr:spPr>
          <a:xfrm>
            <a:off x="1542" y="644"/>
            <a:ext cx="76" cy="29"/>
          </a:xfrm>
          <a:custGeom>
            <a:pathLst>
              <a:path h="30" w="76">
                <a:moveTo>
                  <a:pt x="0" y="0"/>
                </a:moveTo>
                <a:lnTo>
                  <a:pt x="53" y="0"/>
                </a:lnTo>
                <a:lnTo>
                  <a:pt x="76" y="13"/>
                </a:lnTo>
                <a:lnTo>
                  <a:pt x="53" y="30"/>
                </a:lnTo>
                <a:lnTo>
                  <a:pt x="0" y="30"/>
                </a:lnTo>
                <a:lnTo>
                  <a:pt x="0" y="0"/>
                </a:lnTo>
                <a:close/>
              </a:path>
            </a:pathLst>
          </a:custGeom>
          <a:solidFill>
            <a:srgbClr val="FF66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Freeform 23"/>
          <xdr:cNvSpPr>
            <a:spLocks/>
          </xdr:cNvSpPr>
        </xdr:nvSpPr>
        <xdr:spPr>
          <a:xfrm>
            <a:off x="1566" y="686"/>
            <a:ext cx="76" cy="30"/>
          </a:xfrm>
          <a:custGeom>
            <a:pathLst>
              <a:path h="30" w="76">
                <a:moveTo>
                  <a:pt x="0" y="0"/>
                </a:moveTo>
                <a:lnTo>
                  <a:pt x="53" y="0"/>
                </a:lnTo>
                <a:lnTo>
                  <a:pt x="76" y="13"/>
                </a:lnTo>
                <a:lnTo>
                  <a:pt x="53" y="30"/>
                </a:lnTo>
                <a:lnTo>
                  <a:pt x="0" y="30"/>
                </a:lnTo>
                <a:lnTo>
                  <a:pt x="0" y="0"/>
                </a:lnTo>
                <a:close/>
              </a:path>
            </a:pathLst>
          </a:custGeom>
          <a:solidFill>
            <a:srgbClr val="FF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Rectangle 25"/>
          <xdr:cNvSpPr>
            <a:spLocks/>
          </xdr:cNvSpPr>
        </xdr:nvSpPr>
        <xdr:spPr>
          <a:xfrm>
            <a:off x="1422" y="478"/>
            <a:ext cx="31" cy="31"/>
          </a:xfrm>
          <a:prstGeom prst="rect">
            <a:avLst/>
          </a:prstGeom>
          <a:solidFill>
            <a:srgbClr val="99CC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26"/>
          <xdr:cNvSpPr>
            <a:spLocks/>
          </xdr:cNvSpPr>
        </xdr:nvSpPr>
        <xdr:spPr>
          <a:xfrm>
            <a:off x="1422" y="522"/>
            <a:ext cx="50" cy="30"/>
          </a:xfrm>
          <a:prstGeom prst="rect">
            <a:avLst/>
          </a:prstGeom>
          <a:solidFill>
            <a:srgbClr val="33996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 name="Rectangle 27"/>
          <xdr:cNvSpPr>
            <a:spLocks/>
          </xdr:cNvSpPr>
        </xdr:nvSpPr>
        <xdr:spPr>
          <a:xfrm>
            <a:off x="1422" y="561"/>
            <a:ext cx="73" cy="29"/>
          </a:xfrm>
          <a:prstGeom prst="rect">
            <a:avLst/>
          </a:prstGeom>
          <a:solidFill>
            <a:srgbClr val="FFFF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Rectangle 28"/>
          <xdr:cNvSpPr>
            <a:spLocks/>
          </xdr:cNvSpPr>
        </xdr:nvSpPr>
        <xdr:spPr>
          <a:xfrm>
            <a:off x="1422" y="603"/>
            <a:ext cx="98" cy="30"/>
          </a:xfrm>
          <a:prstGeom prst="rect">
            <a:avLst/>
          </a:prstGeom>
          <a:solidFill>
            <a:srgbClr val="FFCC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Rectangle 29"/>
          <xdr:cNvSpPr>
            <a:spLocks/>
          </xdr:cNvSpPr>
        </xdr:nvSpPr>
        <xdr:spPr>
          <a:xfrm>
            <a:off x="1422" y="644"/>
            <a:ext cx="120" cy="29"/>
          </a:xfrm>
          <a:prstGeom prst="rect">
            <a:avLst/>
          </a:prstGeom>
          <a:solidFill>
            <a:srgbClr val="FF66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4" name="Rectangle 30"/>
          <xdr:cNvSpPr>
            <a:spLocks/>
          </xdr:cNvSpPr>
        </xdr:nvSpPr>
        <xdr:spPr>
          <a:xfrm>
            <a:off x="1422" y="686"/>
            <a:ext cx="144" cy="30"/>
          </a:xfrm>
          <a:prstGeom prst="rect">
            <a:avLst/>
          </a:prstGeom>
          <a:solidFill>
            <a:srgbClr val="FF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9525</xdr:colOff>
      <xdr:row>34</xdr:row>
      <xdr:rowOff>38100</xdr:rowOff>
    </xdr:from>
    <xdr:to>
      <xdr:col>5</xdr:col>
      <xdr:colOff>209550</xdr:colOff>
      <xdr:row>51</xdr:row>
      <xdr:rowOff>133350</xdr:rowOff>
    </xdr:to>
    <xdr:graphicFrame>
      <xdr:nvGraphicFramePr>
        <xdr:cNvPr id="15" name="Chart 18"/>
        <xdr:cNvGraphicFramePr/>
      </xdr:nvGraphicFramePr>
      <xdr:xfrm>
        <a:off x="152400" y="7324725"/>
        <a:ext cx="3448050" cy="3476625"/>
      </xdr:xfrm>
      <a:graphic>
        <a:graphicData uri="http://schemas.openxmlformats.org/drawingml/2006/chart">
          <c:chart xmlns:c="http://schemas.openxmlformats.org/drawingml/2006/chart" r:id="rId1"/>
        </a:graphicData>
      </a:graphic>
    </xdr:graphicFrame>
    <xdr:clientData/>
  </xdr:twoCellAnchor>
  <xdr:twoCellAnchor>
    <xdr:from>
      <xdr:col>5</xdr:col>
      <xdr:colOff>723900</xdr:colOff>
      <xdr:row>31</xdr:row>
      <xdr:rowOff>171450</xdr:rowOff>
    </xdr:from>
    <xdr:to>
      <xdr:col>14</xdr:col>
      <xdr:colOff>161925</xdr:colOff>
      <xdr:row>50</xdr:row>
      <xdr:rowOff>104775</xdr:rowOff>
    </xdr:to>
    <xdr:graphicFrame>
      <xdr:nvGraphicFramePr>
        <xdr:cNvPr id="16" name="Chart 22"/>
        <xdr:cNvGraphicFramePr/>
      </xdr:nvGraphicFramePr>
      <xdr:xfrm>
        <a:off x="4114800" y="6915150"/>
        <a:ext cx="2695575" cy="3667125"/>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20</xdr:row>
      <xdr:rowOff>19050</xdr:rowOff>
    </xdr:from>
    <xdr:to>
      <xdr:col>2</xdr:col>
      <xdr:colOff>885825</xdr:colOff>
      <xdr:row>21</xdr:row>
      <xdr:rowOff>76200</xdr:rowOff>
    </xdr:to>
    <xdr:sp>
      <xdr:nvSpPr>
        <xdr:cNvPr id="17" name="Text Box 32"/>
        <xdr:cNvSpPr txBox="1">
          <a:spLocks noChangeArrowheads="1"/>
        </xdr:cNvSpPr>
      </xdr:nvSpPr>
      <xdr:spPr>
        <a:xfrm>
          <a:off x="333375" y="4143375"/>
          <a:ext cx="695325"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B &gt;65%</a:t>
          </a:r>
        </a:p>
      </xdr:txBody>
    </xdr:sp>
    <xdr:clientData/>
  </xdr:twoCellAnchor>
  <xdr:twoCellAnchor>
    <xdr:from>
      <xdr:col>2</xdr:col>
      <xdr:colOff>171450</xdr:colOff>
      <xdr:row>23</xdr:row>
      <xdr:rowOff>200025</xdr:rowOff>
    </xdr:from>
    <xdr:to>
      <xdr:col>2</xdr:col>
      <xdr:colOff>885825</xdr:colOff>
      <xdr:row>25</xdr:row>
      <xdr:rowOff>19050</xdr:rowOff>
    </xdr:to>
    <xdr:sp>
      <xdr:nvSpPr>
        <xdr:cNvPr id="18" name="Text Box 32"/>
        <xdr:cNvSpPr txBox="1">
          <a:spLocks noChangeArrowheads="1"/>
        </xdr:cNvSpPr>
      </xdr:nvSpPr>
      <xdr:spPr>
        <a:xfrm>
          <a:off x="314325" y="5038725"/>
          <a:ext cx="714375"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D &gt;45%</a:t>
          </a:r>
        </a:p>
      </xdr:txBody>
    </xdr:sp>
    <xdr:clientData/>
  </xdr:twoCellAnchor>
  <xdr:twoCellAnchor>
    <xdr:from>
      <xdr:col>2</xdr:col>
      <xdr:colOff>180975</xdr:colOff>
      <xdr:row>25</xdr:row>
      <xdr:rowOff>200025</xdr:rowOff>
    </xdr:from>
    <xdr:to>
      <xdr:col>2</xdr:col>
      <xdr:colOff>762000</xdr:colOff>
      <xdr:row>27</xdr:row>
      <xdr:rowOff>19050</xdr:rowOff>
    </xdr:to>
    <xdr:sp>
      <xdr:nvSpPr>
        <xdr:cNvPr id="19" name="Text Box 32"/>
        <xdr:cNvSpPr txBox="1">
          <a:spLocks noChangeArrowheads="1"/>
        </xdr:cNvSpPr>
      </xdr:nvSpPr>
      <xdr:spPr>
        <a:xfrm>
          <a:off x="323850" y="5514975"/>
          <a:ext cx="581025"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E &gt;35%</a:t>
          </a:r>
        </a:p>
      </xdr:txBody>
    </xdr:sp>
    <xdr:clientData/>
  </xdr:twoCellAnchor>
  <xdr:twoCellAnchor>
    <xdr:from>
      <xdr:col>2</xdr:col>
      <xdr:colOff>171450</xdr:colOff>
      <xdr:row>27</xdr:row>
      <xdr:rowOff>171450</xdr:rowOff>
    </xdr:from>
    <xdr:to>
      <xdr:col>2</xdr:col>
      <xdr:colOff>752475</xdr:colOff>
      <xdr:row>28</xdr:row>
      <xdr:rowOff>228600</xdr:rowOff>
    </xdr:to>
    <xdr:sp>
      <xdr:nvSpPr>
        <xdr:cNvPr id="20" name="Text Box 32"/>
        <xdr:cNvSpPr txBox="1">
          <a:spLocks noChangeArrowheads="1"/>
        </xdr:cNvSpPr>
      </xdr:nvSpPr>
      <xdr:spPr>
        <a:xfrm>
          <a:off x="314325" y="5962650"/>
          <a:ext cx="581025"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F &gt;25%</a:t>
          </a:r>
        </a:p>
      </xdr:txBody>
    </xdr:sp>
    <xdr:clientData/>
  </xdr:twoCellAnchor>
  <xdr:twoCellAnchor>
    <xdr:from>
      <xdr:col>2</xdr:col>
      <xdr:colOff>180975</xdr:colOff>
      <xdr:row>22</xdr:row>
      <xdr:rowOff>9525</xdr:rowOff>
    </xdr:from>
    <xdr:to>
      <xdr:col>2</xdr:col>
      <xdr:colOff>1019175</xdr:colOff>
      <xdr:row>23</xdr:row>
      <xdr:rowOff>66675</xdr:rowOff>
    </xdr:to>
    <xdr:sp>
      <xdr:nvSpPr>
        <xdr:cNvPr id="21" name="Text Box 32"/>
        <xdr:cNvSpPr txBox="1">
          <a:spLocks noChangeArrowheads="1"/>
        </xdr:cNvSpPr>
      </xdr:nvSpPr>
      <xdr:spPr>
        <a:xfrm>
          <a:off x="323850" y="4610100"/>
          <a:ext cx="838200"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C &gt;55%</a:t>
          </a:r>
        </a:p>
      </xdr:txBody>
    </xdr:sp>
    <xdr:clientData/>
  </xdr:twoCellAnchor>
  <xdr:twoCellAnchor>
    <xdr:from>
      <xdr:col>2</xdr:col>
      <xdr:colOff>200025</xdr:colOff>
      <xdr:row>29</xdr:row>
      <xdr:rowOff>171450</xdr:rowOff>
    </xdr:from>
    <xdr:to>
      <xdr:col>2</xdr:col>
      <xdr:colOff>904875</xdr:colOff>
      <xdr:row>30</xdr:row>
      <xdr:rowOff>228600</xdr:rowOff>
    </xdr:to>
    <xdr:sp>
      <xdr:nvSpPr>
        <xdr:cNvPr id="22" name="Text Box 32"/>
        <xdr:cNvSpPr txBox="1">
          <a:spLocks noChangeArrowheads="1"/>
        </xdr:cNvSpPr>
      </xdr:nvSpPr>
      <xdr:spPr>
        <a:xfrm>
          <a:off x="342900" y="6438900"/>
          <a:ext cx="704850"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G &lt;25%</a:t>
          </a:r>
        </a:p>
      </xdr:txBody>
    </xdr:sp>
    <xdr:clientData/>
  </xdr:twoCellAnchor>
  <xdr:twoCellAnchor>
    <xdr:from>
      <xdr:col>2</xdr:col>
      <xdr:colOff>190500</xdr:colOff>
      <xdr:row>18</xdr:row>
      <xdr:rowOff>9525</xdr:rowOff>
    </xdr:from>
    <xdr:to>
      <xdr:col>2</xdr:col>
      <xdr:colOff>885825</xdr:colOff>
      <xdr:row>19</xdr:row>
      <xdr:rowOff>66675</xdr:rowOff>
    </xdr:to>
    <xdr:sp>
      <xdr:nvSpPr>
        <xdr:cNvPr id="23" name="Text Box 32"/>
        <xdr:cNvSpPr txBox="1">
          <a:spLocks noChangeArrowheads="1"/>
        </xdr:cNvSpPr>
      </xdr:nvSpPr>
      <xdr:spPr>
        <a:xfrm>
          <a:off x="333375" y="3657600"/>
          <a:ext cx="695325" cy="295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A &gt;70%</a:t>
          </a:r>
        </a:p>
      </xdr:txBody>
    </xdr:sp>
    <xdr:clientData/>
  </xdr:twoCellAnchor>
  <xdr:twoCellAnchor editAs="oneCell">
    <xdr:from>
      <xdr:col>2</xdr:col>
      <xdr:colOff>1057275</xdr:colOff>
      <xdr:row>54</xdr:row>
      <xdr:rowOff>381000</xdr:rowOff>
    </xdr:from>
    <xdr:to>
      <xdr:col>5</xdr:col>
      <xdr:colOff>581025</xdr:colOff>
      <xdr:row>54</xdr:row>
      <xdr:rowOff>676275</xdr:rowOff>
    </xdr:to>
    <xdr:pic>
      <xdr:nvPicPr>
        <xdr:cNvPr id="24" name="Picture 6">
          <a:hlinkClick r:id="rId5"/>
        </xdr:cNvPr>
        <xdr:cNvPicPr preferRelativeResize="1">
          <a:picLocks noChangeAspect="1"/>
        </xdr:cNvPicPr>
      </xdr:nvPicPr>
      <xdr:blipFill>
        <a:blip r:embed="rId3"/>
        <a:srcRect l="378" t="11764" r="9074" b="5882"/>
        <a:stretch>
          <a:fillRect/>
        </a:stretch>
      </xdr:blipFill>
      <xdr:spPr>
        <a:xfrm>
          <a:off x="1200150" y="11315700"/>
          <a:ext cx="2771775" cy="295275"/>
        </a:xfrm>
        <a:prstGeom prst="rect">
          <a:avLst/>
        </a:prstGeom>
        <a:noFill/>
        <a:ln w="9525" cmpd="sng">
          <a:noFill/>
        </a:ln>
      </xdr:spPr>
    </xdr:pic>
    <xdr:clientData/>
  </xdr:twoCellAnchor>
  <xdr:twoCellAnchor editAs="oneCell">
    <xdr:from>
      <xdr:col>2</xdr:col>
      <xdr:colOff>57150</xdr:colOff>
      <xdr:row>54</xdr:row>
      <xdr:rowOff>285750</xdr:rowOff>
    </xdr:from>
    <xdr:to>
      <xdr:col>2</xdr:col>
      <xdr:colOff>1019175</xdr:colOff>
      <xdr:row>54</xdr:row>
      <xdr:rowOff>695325</xdr:rowOff>
    </xdr:to>
    <xdr:pic>
      <xdr:nvPicPr>
        <xdr:cNvPr id="25" name="Picture 7" descr="http://profile.ak.fbcdn.net/object3/426/104/n129598759409_2759.jpg">
          <a:hlinkClick r:id="rId8"/>
        </xdr:cNvPr>
        <xdr:cNvPicPr preferRelativeResize="1">
          <a:picLocks noChangeAspect="1"/>
        </xdr:cNvPicPr>
      </xdr:nvPicPr>
      <xdr:blipFill>
        <a:blip r:embed="rId6"/>
        <a:srcRect b="8403"/>
        <a:stretch>
          <a:fillRect/>
        </a:stretch>
      </xdr:blipFill>
      <xdr:spPr>
        <a:xfrm>
          <a:off x="200025" y="11220450"/>
          <a:ext cx="962025" cy="409575"/>
        </a:xfrm>
        <a:prstGeom prst="rect">
          <a:avLst/>
        </a:prstGeom>
        <a:noFill/>
        <a:ln w="9525" cmpd="sng">
          <a:noFill/>
        </a:ln>
      </xdr:spPr>
    </xdr:pic>
    <xdr:clientData/>
  </xdr:twoCellAnchor>
  <xdr:twoCellAnchor>
    <xdr:from>
      <xdr:col>7</xdr:col>
      <xdr:colOff>161925</xdr:colOff>
      <xdr:row>1</xdr:row>
      <xdr:rowOff>28575</xdr:rowOff>
    </xdr:from>
    <xdr:to>
      <xdr:col>11</xdr:col>
      <xdr:colOff>38100</xdr:colOff>
      <xdr:row>3</xdr:row>
      <xdr:rowOff>200025</xdr:rowOff>
    </xdr:to>
    <xdr:pic>
      <xdr:nvPicPr>
        <xdr:cNvPr id="26" name="Picture 3260"/>
        <xdr:cNvPicPr preferRelativeResize="1">
          <a:picLocks noChangeAspect="1"/>
        </xdr:cNvPicPr>
      </xdr:nvPicPr>
      <xdr:blipFill>
        <a:blip r:embed="rId9"/>
        <a:srcRect l="3364" t="18461" r="58473" b="73396"/>
        <a:stretch>
          <a:fillRect/>
        </a:stretch>
      </xdr:blipFill>
      <xdr:spPr>
        <a:xfrm>
          <a:off x="4495800" y="161925"/>
          <a:ext cx="1952625" cy="571500"/>
        </a:xfrm>
        <a:prstGeom prst="rect">
          <a:avLst/>
        </a:prstGeom>
        <a:noFill/>
        <a:ln w="9525" cmpd="sng">
          <a:noFill/>
        </a:ln>
      </xdr:spPr>
    </xdr:pic>
    <xdr:clientData/>
  </xdr:twoCellAnchor>
  <xdr:twoCellAnchor>
    <xdr:from>
      <xdr:col>6</xdr:col>
      <xdr:colOff>133350</xdr:colOff>
      <xdr:row>54</xdr:row>
      <xdr:rowOff>200025</xdr:rowOff>
    </xdr:from>
    <xdr:to>
      <xdr:col>7</xdr:col>
      <xdr:colOff>504825</xdr:colOff>
      <xdr:row>54</xdr:row>
      <xdr:rowOff>828675</xdr:rowOff>
    </xdr:to>
    <xdr:pic>
      <xdr:nvPicPr>
        <xdr:cNvPr id="27" name="Picture 3261" descr="kerrycocologo">
          <a:hlinkClick r:id="rId12"/>
        </xdr:cNvPr>
        <xdr:cNvPicPr preferRelativeResize="1">
          <a:picLocks noChangeAspect="1"/>
        </xdr:cNvPicPr>
      </xdr:nvPicPr>
      <xdr:blipFill>
        <a:blip r:embed="rId10"/>
        <a:srcRect l="10256" t="5790" r="14102"/>
        <a:stretch>
          <a:fillRect/>
        </a:stretch>
      </xdr:blipFill>
      <xdr:spPr>
        <a:xfrm>
          <a:off x="4276725" y="11134725"/>
          <a:ext cx="56197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9</xdr:row>
      <xdr:rowOff>400050</xdr:rowOff>
    </xdr:from>
    <xdr:to>
      <xdr:col>2</xdr:col>
      <xdr:colOff>762000</xdr:colOff>
      <xdr:row>9</xdr:row>
      <xdr:rowOff>695325</xdr:rowOff>
    </xdr:to>
    <xdr:pic>
      <xdr:nvPicPr>
        <xdr:cNvPr id="1" name="Picture 6">
          <a:hlinkClick r:id="rId3"/>
        </xdr:cNvPr>
        <xdr:cNvPicPr preferRelativeResize="1">
          <a:picLocks noChangeAspect="1"/>
        </xdr:cNvPicPr>
      </xdr:nvPicPr>
      <xdr:blipFill>
        <a:blip r:embed="rId1"/>
        <a:srcRect l="378" t="11764" r="9074" b="5882"/>
        <a:stretch>
          <a:fillRect/>
        </a:stretch>
      </xdr:blipFill>
      <xdr:spPr>
        <a:xfrm>
          <a:off x="1524000" y="2990850"/>
          <a:ext cx="2771775" cy="295275"/>
        </a:xfrm>
        <a:prstGeom prst="rect">
          <a:avLst/>
        </a:prstGeom>
        <a:noFill/>
        <a:ln w="9525" cmpd="sng">
          <a:noFill/>
        </a:ln>
      </xdr:spPr>
    </xdr:pic>
    <xdr:clientData/>
  </xdr:twoCellAnchor>
  <xdr:twoCellAnchor editAs="oneCell">
    <xdr:from>
      <xdr:col>0</xdr:col>
      <xdr:colOff>390525</xdr:colOff>
      <xdr:row>9</xdr:row>
      <xdr:rowOff>304800</xdr:rowOff>
    </xdr:from>
    <xdr:to>
      <xdr:col>1</xdr:col>
      <xdr:colOff>495300</xdr:colOff>
      <xdr:row>9</xdr:row>
      <xdr:rowOff>714375</xdr:rowOff>
    </xdr:to>
    <xdr:pic>
      <xdr:nvPicPr>
        <xdr:cNvPr id="2" name="Picture 7" descr="http://profile.ak.fbcdn.net/object3/426/104/n129598759409_2759.jpg">
          <a:hlinkClick r:id="rId6"/>
        </xdr:cNvPr>
        <xdr:cNvPicPr preferRelativeResize="1">
          <a:picLocks noChangeAspect="1"/>
        </xdr:cNvPicPr>
      </xdr:nvPicPr>
      <xdr:blipFill>
        <a:blip r:embed="rId4"/>
        <a:srcRect b="8403"/>
        <a:stretch>
          <a:fillRect/>
        </a:stretch>
      </xdr:blipFill>
      <xdr:spPr>
        <a:xfrm>
          <a:off x="390525" y="2895600"/>
          <a:ext cx="962025" cy="409575"/>
        </a:xfrm>
        <a:prstGeom prst="rect">
          <a:avLst/>
        </a:prstGeom>
        <a:noFill/>
        <a:ln w="9525" cmpd="sng">
          <a:noFill/>
        </a:ln>
      </xdr:spPr>
    </xdr:pic>
    <xdr:clientData/>
  </xdr:twoCellAnchor>
  <xdr:twoCellAnchor>
    <xdr:from>
      <xdr:col>3</xdr:col>
      <xdr:colOff>190500</xdr:colOff>
      <xdr:row>9</xdr:row>
      <xdr:rowOff>266700</xdr:rowOff>
    </xdr:from>
    <xdr:to>
      <xdr:col>3</xdr:col>
      <xdr:colOff>752475</xdr:colOff>
      <xdr:row>9</xdr:row>
      <xdr:rowOff>895350</xdr:rowOff>
    </xdr:to>
    <xdr:pic>
      <xdr:nvPicPr>
        <xdr:cNvPr id="3" name="Picture 325" descr="kerrycocologo">
          <a:hlinkClick r:id="rId9"/>
        </xdr:cNvPr>
        <xdr:cNvPicPr preferRelativeResize="1">
          <a:picLocks noChangeAspect="1"/>
        </xdr:cNvPicPr>
      </xdr:nvPicPr>
      <xdr:blipFill>
        <a:blip r:embed="rId7"/>
        <a:srcRect l="10256" t="5790" r="14102"/>
        <a:stretch>
          <a:fillRect/>
        </a:stretch>
      </xdr:blipFill>
      <xdr:spPr>
        <a:xfrm>
          <a:off x="4505325" y="2857500"/>
          <a:ext cx="5619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re.jrc.ec.europa.eu/energyefficiency/eurodeem/imssa.htm" TargetMode="External" /><Relationship Id="rId2" Type="http://schemas.openxmlformats.org/officeDocument/2006/relationships/hyperlink" Target="http://www1.eere.energy.gov/industry/bestpractices/software_psat.html" TargetMode="External" /><Relationship Id="rId3" Type="http://schemas.openxmlformats.org/officeDocument/2006/relationships/hyperlink" Target="http://www.pressure-drop.com/" TargetMode="External" /><Relationship Id="rId4" Type="http://schemas.openxmlformats.org/officeDocument/2006/relationships/oleObject" Target="../embeddings/oleObject_2_0.bin" /><Relationship Id="rId5" Type="http://schemas.openxmlformats.org/officeDocument/2006/relationships/vmlDrawing" Target="../drawings/vmlDrawing1.vml" /><Relationship Id="rId6" Type="http://schemas.openxmlformats.org/officeDocument/2006/relationships/drawing" Target="../drawings/drawing3.x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M14"/>
  <sheetViews>
    <sheetView showGridLines="0" tabSelected="1" zoomScalePageLayoutView="0" workbookViewId="0" topLeftCell="A1">
      <selection activeCell="O10" sqref="O10"/>
    </sheetView>
  </sheetViews>
  <sheetFormatPr defaultColWidth="9.140625" defaultRowHeight="15"/>
  <cols>
    <col min="1" max="3" width="1.421875" style="248" customWidth="1"/>
    <col min="4" max="4" width="83.00390625" style="248" customWidth="1"/>
    <col min="5" max="6" width="1.1484375" style="248" customWidth="1"/>
    <col min="7" max="7" width="1.421875" style="248" customWidth="1"/>
    <col min="8" max="16384" width="9.140625" style="248" customWidth="1"/>
  </cols>
  <sheetData>
    <row r="1" spans="1:7" s="117" customFormat="1" ht="7.5" customHeight="1" thickBot="1">
      <c r="A1" s="11"/>
      <c r="B1" s="10"/>
      <c r="C1" s="10"/>
      <c r="D1" s="11"/>
      <c r="E1" s="105"/>
      <c r="F1" s="11"/>
      <c r="G1" s="11"/>
    </row>
    <row r="2" spans="1:13" s="117" customFormat="1" ht="4.5" customHeight="1">
      <c r="A2" s="11"/>
      <c r="B2" s="79"/>
      <c r="C2" s="80"/>
      <c r="D2" s="81"/>
      <c r="E2" s="106"/>
      <c r="F2" s="83"/>
      <c r="G2" s="14"/>
      <c r="H2" s="118"/>
      <c r="I2" s="118"/>
      <c r="J2" s="118"/>
      <c r="K2" s="118"/>
      <c r="L2" s="118"/>
      <c r="M2" s="118"/>
    </row>
    <row r="3" spans="1:13" s="120" customFormat="1" ht="23.25">
      <c r="A3" s="1"/>
      <c r="B3" s="84"/>
      <c r="C3" s="57"/>
      <c r="D3" s="132" t="s">
        <v>100</v>
      </c>
      <c r="E3" s="107"/>
      <c r="F3" s="85"/>
      <c r="G3" s="8"/>
      <c r="H3" s="119"/>
      <c r="I3" s="119"/>
      <c r="J3" s="119"/>
      <c r="K3" s="119"/>
      <c r="L3" s="119"/>
      <c r="M3" s="119"/>
    </row>
    <row r="4" spans="1:13" s="120" customFormat="1" ht="21" customHeight="1">
      <c r="A4" s="1"/>
      <c r="B4" s="84"/>
      <c r="C4" s="57"/>
      <c r="D4" s="132" t="s">
        <v>256</v>
      </c>
      <c r="E4" s="20"/>
      <c r="F4" s="85"/>
      <c r="G4" s="8"/>
      <c r="H4" s="119"/>
      <c r="I4" s="119"/>
      <c r="J4" s="119"/>
      <c r="K4" s="119"/>
      <c r="L4" s="119"/>
      <c r="M4" s="119"/>
    </row>
    <row r="5" spans="1:13" s="120" customFormat="1" ht="11.25" customHeight="1">
      <c r="A5" s="1"/>
      <c r="B5" s="84"/>
      <c r="C5" s="57"/>
      <c r="D5" s="17"/>
      <c r="E5" s="107"/>
      <c r="F5" s="85"/>
      <c r="G5" s="8"/>
      <c r="H5" s="119"/>
      <c r="I5" s="119"/>
      <c r="J5" s="119"/>
      <c r="K5" s="119"/>
      <c r="L5" s="119"/>
      <c r="M5" s="119"/>
    </row>
    <row r="6" spans="1:7" ht="26.25">
      <c r="A6"/>
      <c r="B6" s="320"/>
      <c r="C6" s="285"/>
      <c r="D6" s="325" t="s">
        <v>142</v>
      </c>
      <c r="E6" s="285"/>
      <c r="F6" s="321"/>
      <c r="G6"/>
    </row>
    <row r="7" spans="1:7" ht="15">
      <c r="A7"/>
      <c r="B7" s="320"/>
      <c r="C7" s="285"/>
      <c r="D7" s="325"/>
      <c r="E7" s="285"/>
      <c r="F7" s="321"/>
      <c r="G7"/>
    </row>
    <row r="8" spans="1:7" ht="90">
      <c r="A8"/>
      <c r="B8" s="320"/>
      <c r="C8" s="285"/>
      <c r="D8" s="334" t="s">
        <v>152</v>
      </c>
      <c r="E8" s="285"/>
      <c r="F8" s="321"/>
      <c r="G8"/>
    </row>
    <row r="9" spans="1:7" ht="15">
      <c r="A9"/>
      <c r="B9" s="320"/>
      <c r="C9" s="285"/>
      <c r="D9" s="325"/>
      <c r="E9" s="285"/>
      <c r="F9" s="321"/>
      <c r="G9"/>
    </row>
    <row r="10" spans="1:7" ht="104.25">
      <c r="A10"/>
      <c r="B10" s="320"/>
      <c r="C10" s="285"/>
      <c r="D10" s="325" t="s">
        <v>143</v>
      </c>
      <c r="E10" s="285"/>
      <c r="F10" s="321"/>
      <c r="G10"/>
    </row>
    <row r="11" spans="1:7" ht="15">
      <c r="A11"/>
      <c r="B11" s="320"/>
      <c r="C11" s="285"/>
      <c r="D11" s="326"/>
      <c r="E11" s="285"/>
      <c r="F11" s="321"/>
      <c r="G11"/>
    </row>
    <row r="12" spans="1:7" ht="15">
      <c r="A12"/>
      <c r="B12" s="320"/>
      <c r="C12" s="285"/>
      <c r="D12" s="327" t="s">
        <v>171</v>
      </c>
      <c r="E12" s="285"/>
      <c r="F12" s="321"/>
      <c r="G12"/>
    </row>
    <row r="13" spans="1:7" ht="15.75" thickBot="1">
      <c r="A13"/>
      <c r="B13" s="322"/>
      <c r="C13" s="323"/>
      <c r="D13" s="323"/>
      <c r="E13" s="323"/>
      <c r="F13" s="324"/>
      <c r="G13"/>
    </row>
    <row r="14" spans="1:11" s="117" customFormat="1" ht="73.5" customHeight="1">
      <c r="A14" s="11"/>
      <c r="B14" s="412" t="s">
        <v>300</v>
      </c>
      <c r="C14" s="413"/>
      <c r="D14" s="413"/>
      <c r="E14" s="413"/>
      <c r="F14" s="413"/>
      <c r="G14" s="11"/>
      <c r="H14" s="248"/>
      <c r="I14" s="248"/>
      <c r="J14" s="248"/>
      <c r="K14" s="248"/>
    </row>
  </sheetData>
  <sheetProtection sheet="1"/>
  <mergeCells count="1">
    <mergeCell ref="B14:F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N65"/>
  <sheetViews>
    <sheetView showGridLines="0" zoomScaleSheetLayoutView="100" zoomScalePageLayoutView="0" workbookViewId="0" topLeftCell="A1">
      <selection activeCell="A1" sqref="A1"/>
    </sheetView>
  </sheetViews>
  <sheetFormatPr defaultColWidth="9.140625" defaultRowHeight="15"/>
  <cols>
    <col min="1" max="1" width="1.7109375" style="248" customWidth="1"/>
    <col min="2" max="2" width="1.421875" style="248" customWidth="1"/>
    <col min="3" max="3" width="10.00390625" style="248" customWidth="1"/>
    <col min="4" max="4" width="22.140625" style="248" bestFit="1" customWidth="1"/>
    <col min="5" max="5" width="92.7109375" style="248" customWidth="1"/>
    <col min="6" max="7" width="1.1484375" style="248" customWidth="1"/>
    <col min="8" max="8" width="1.7109375" style="248" customWidth="1"/>
    <col min="9" max="16384" width="9.140625" style="248" customWidth="1"/>
  </cols>
  <sheetData>
    <row r="1" spans="1:8" s="117" customFormat="1" ht="8.25" customHeight="1" thickBot="1">
      <c r="A1" s="11"/>
      <c r="B1" s="10"/>
      <c r="C1" s="10"/>
      <c r="D1" s="10"/>
      <c r="E1" s="11"/>
      <c r="F1" s="105"/>
      <c r="G1" s="11"/>
      <c r="H1" s="11"/>
    </row>
    <row r="2" spans="1:14" s="117" customFormat="1" ht="4.5" customHeight="1">
      <c r="A2" s="11"/>
      <c r="B2" s="79"/>
      <c r="C2" s="80"/>
      <c r="D2" s="80"/>
      <c r="E2" s="81"/>
      <c r="F2" s="106"/>
      <c r="G2" s="83"/>
      <c r="H2" s="14"/>
      <c r="I2" s="118"/>
      <c r="J2" s="118"/>
      <c r="K2" s="118"/>
      <c r="L2" s="118"/>
      <c r="M2" s="118"/>
      <c r="N2" s="118"/>
    </row>
    <row r="3" spans="1:14" s="120" customFormat="1" ht="23.25">
      <c r="A3" s="1"/>
      <c r="B3" s="84"/>
      <c r="C3" s="132" t="s">
        <v>100</v>
      </c>
      <c r="D3" s="57"/>
      <c r="E3" s="132"/>
      <c r="F3" s="107"/>
      <c r="G3" s="85"/>
      <c r="H3" s="8"/>
      <c r="I3" s="119"/>
      <c r="J3" s="119"/>
      <c r="K3" s="119"/>
      <c r="L3" s="119"/>
      <c r="M3" s="119"/>
      <c r="N3" s="119"/>
    </row>
    <row r="4" spans="1:14" s="120" customFormat="1" ht="21" customHeight="1">
      <c r="A4" s="1"/>
      <c r="B4" s="84"/>
      <c r="C4" s="132" t="s">
        <v>155</v>
      </c>
      <c r="D4" s="57"/>
      <c r="E4" s="132"/>
      <c r="F4" s="20"/>
      <c r="G4" s="85"/>
      <c r="H4" s="8"/>
      <c r="I4" s="119"/>
      <c r="J4" s="119"/>
      <c r="K4" s="119"/>
      <c r="L4" s="119"/>
      <c r="M4" s="119"/>
      <c r="N4" s="119"/>
    </row>
    <row r="5" spans="1:14" s="120" customFormat="1" ht="11.25" customHeight="1">
      <c r="A5" s="1"/>
      <c r="B5" s="84"/>
      <c r="C5" s="57"/>
      <c r="D5" s="57"/>
      <c r="E5" s="17"/>
      <c r="F5" s="107"/>
      <c r="G5" s="85"/>
      <c r="H5" s="8"/>
      <c r="I5" s="119"/>
      <c r="J5" s="119"/>
      <c r="K5" s="119"/>
      <c r="L5" s="119"/>
      <c r="M5" s="119"/>
      <c r="N5" s="119"/>
    </row>
    <row r="6" spans="1:8" ht="25.5" customHeight="1">
      <c r="A6"/>
      <c r="B6" s="320"/>
      <c r="C6" s="414" t="s">
        <v>159</v>
      </c>
      <c r="D6" s="415"/>
      <c r="E6" s="415"/>
      <c r="F6" s="285"/>
      <c r="G6" s="321"/>
      <c r="H6"/>
    </row>
    <row r="7" spans="1:8" s="340" customFormat="1" ht="12.75">
      <c r="A7" s="336"/>
      <c r="B7" s="337"/>
      <c r="C7" s="338"/>
      <c r="D7" s="338"/>
      <c r="E7" s="334"/>
      <c r="F7" s="338"/>
      <c r="G7" s="339"/>
      <c r="H7" s="336"/>
    </row>
    <row r="8" spans="1:8" s="340" customFormat="1" ht="12.75">
      <c r="A8" s="336"/>
      <c r="B8" s="337"/>
      <c r="C8" s="343" t="s">
        <v>160</v>
      </c>
      <c r="D8" s="344"/>
      <c r="E8" s="345"/>
      <c r="F8" s="338"/>
      <c r="G8" s="339"/>
      <c r="H8" s="336"/>
    </row>
    <row r="9" spans="1:8" s="340" customFormat="1" ht="25.5">
      <c r="A9" s="336"/>
      <c r="B9" s="337"/>
      <c r="C9" s="342" t="s">
        <v>156</v>
      </c>
      <c r="D9" s="403" t="s">
        <v>105</v>
      </c>
      <c r="E9" s="341" t="s">
        <v>158</v>
      </c>
      <c r="F9" s="338"/>
      <c r="G9" s="339"/>
      <c r="H9" s="336"/>
    </row>
    <row r="10" spans="1:8" s="340" customFormat="1" ht="63.75">
      <c r="A10" s="336"/>
      <c r="B10" s="337"/>
      <c r="C10" s="342" t="s">
        <v>182</v>
      </c>
      <c r="D10" s="403" t="s">
        <v>103</v>
      </c>
      <c r="E10" s="341" t="s">
        <v>157</v>
      </c>
      <c r="F10" s="338"/>
      <c r="G10" s="339"/>
      <c r="H10" s="336"/>
    </row>
    <row r="11" spans="1:8" s="340" customFormat="1" ht="76.5">
      <c r="A11" s="336"/>
      <c r="B11" s="337"/>
      <c r="C11" s="346" t="s">
        <v>161</v>
      </c>
      <c r="D11" s="404" t="s">
        <v>162</v>
      </c>
      <c r="E11" s="347" t="s">
        <v>257</v>
      </c>
      <c r="F11" s="338"/>
      <c r="G11" s="339"/>
      <c r="H11" s="336"/>
    </row>
    <row r="12" spans="1:8" s="340" customFormat="1" ht="25.5">
      <c r="A12" s="336"/>
      <c r="B12" s="337"/>
      <c r="C12" s="348" t="s">
        <v>163</v>
      </c>
      <c r="D12" s="402" t="s">
        <v>87</v>
      </c>
      <c r="E12" s="350" t="s">
        <v>259</v>
      </c>
      <c r="F12" s="338"/>
      <c r="G12" s="339"/>
      <c r="H12" s="336"/>
    </row>
    <row r="13" spans="1:8" s="340" customFormat="1" ht="25.5">
      <c r="A13" s="336"/>
      <c r="B13" s="337"/>
      <c r="C13" s="348" t="s">
        <v>164</v>
      </c>
      <c r="D13" s="402" t="s">
        <v>36</v>
      </c>
      <c r="E13" s="350" t="s">
        <v>260</v>
      </c>
      <c r="F13" s="338"/>
      <c r="G13" s="339"/>
      <c r="H13" s="336"/>
    </row>
    <row r="14" spans="1:8" s="340" customFormat="1" ht="12.75">
      <c r="A14" s="336"/>
      <c r="B14" s="337"/>
      <c r="C14" s="348" t="s">
        <v>165</v>
      </c>
      <c r="D14" s="402" t="s">
        <v>199</v>
      </c>
      <c r="E14" s="350" t="s">
        <v>261</v>
      </c>
      <c r="F14" s="338"/>
      <c r="G14" s="339"/>
      <c r="H14" s="336"/>
    </row>
    <row r="15" spans="1:8" s="340" customFormat="1" ht="12.75">
      <c r="A15" s="336"/>
      <c r="B15" s="337"/>
      <c r="C15" s="348" t="s">
        <v>166</v>
      </c>
      <c r="D15" s="402" t="s">
        <v>204</v>
      </c>
      <c r="E15" s="350" t="s">
        <v>262</v>
      </c>
      <c r="F15" s="338"/>
      <c r="G15" s="339"/>
      <c r="H15" s="336"/>
    </row>
    <row r="16" spans="1:8" s="340" customFormat="1" ht="25.5">
      <c r="A16" s="336"/>
      <c r="B16" s="337"/>
      <c r="C16" s="348" t="s">
        <v>167</v>
      </c>
      <c r="D16" s="402" t="s">
        <v>23</v>
      </c>
      <c r="E16" s="350" t="s">
        <v>258</v>
      </c>
      <c r="F16" s="338"/>
      <c r="G16" s="339"/>
      <c r="H16" s="336"/>
    </row>
    <row r="17" spans="1:8" s="340" customFormat="1" ht="29.25" customHeight="1">
      <c r="A17" s="336"/>
      <c r="B17" s="337"/>
      <c r="C17" s="348" t="s">
        <v>168</v>
      </c>
      <c r="D17" s="402" t="s">
        <v>205</v>
      </c>
      <c r="E17" s="350" t="s">
        <v>263</v>
      </c>
      <c r="F17" s="338"/>
      <c r="G17" s="339"/>
      <c r="H17" s="336"/>
    </row>
    <row r="18" spans="1:8" s="340" customFormat="1" ht="63.75">
      <c r="A18" s="336"/>
      <c r="B18" s="337"/>
      <c r="C18" s="348" t="s">
        <v>194</v>
      </c>
      <c r="D18" s="402" t="s">
        <v>93</v>
      </c>
      <c r="E18" s="350" t="s">
        <v>264</v>
      </c>
      <c r="F18" s="338"/>
      <c r="G18" s="339"/>
      <c r="H18" s="336"/>
    </row>
    <row r="19" spans="1:8" s="340" customFormat="1" ht="76.5">
      <c r="A19" s="336"/>
      <c r="B19" s="337"/>
      <c r="C19" s="348" t="s">
        <v>169</v>
      </c>
      <c r="D19" s="402" t="s">
        <v>34</v>
      </c>
      <c r="E19" s="350" t="s">
        <v>293</v>
      </c>
      <c r="F19" s="338"/>
      <c r="G19" s="339"/>
      <c r="H19" s="336"/>
    </row>
    <row r="20" spans="1:8" s="340" customFormat="1" ht="54" customHeight="1">
      <c r="A20" s="336"/>
      <c r="B20" s="337"/>
      <c r="C20" s="348" t="s">
        <v>170</v>
      </c>
      <c r="D20" s="402" t="s">
        <v>1</v>
      </c>
      <c r="E20" s="350" t="s">
        <v>265</v>
      </c>
      <c r="F20" s="338"/>
      <c r="G20" s="339"/>
      <c r="H20" s="336"/>
    </row>
    <row r="21" spans="1:8" s="340" customFormat="1" ht="38.25">
      <c r="A21" s="336"/>
      <c r="B21" s="337"/>
      <c r="C21" s="348" t="s">
        <v>172</v>
      </c>
      <c r="D21" s="402" t="s">
        <v>47</v>
      </c>
      <c r="E21" s="350" t="s">
        <v>278</v>
      </c>
      <c r="F21" s="338"/>
      <c r="G21" s="339"/>
      <c r="H21" s="336"/>
    </row>
    <row r="22" spans="1:8" s="340" customFormat="1" ht="52.5" customHeight="1">
      <c r="A22" s="336"/>
      <c r="B22" s="337"/>
      <c r="C22" s="348" t="s">
        <v>173</v>
      </c>
      <c r="D22" s="402" t="s">
        <v>46</v>
      </c>
      <c r="E22" s="350" t="s">
        <v>279</v>
      </c>
      <c r="F22" s="338"/>
      <c r="G22" s="339"/>
      <c r="H22" s="336"/>
    </row>
    <row r="23" spans="1:8" s="340" customFormat="1" ht="29.25" customHeight="1">
      <c r="A23" s="336"/>
      <c r="B23" s="337"/>
      <c r="C23" s="348" t="s">
        <v>174</v>
      </c>
      <c r="D23" s="402" t="s">
        <v>42</v>
      </c>
      <c r="E23" s="350" t="s">
        <v>266</v>
      </c>
      <c r="F23" s="338"/>
      <c r="G23" s="339"/>
      <c r="H23" s="336"/>
    </row>
    <row r="24" spans="1:8" ht="25.5">
      <c r="A24"/>
      <c r="B24" s="320"/>
      <c r="C24" s="348" t="s">
        <v>175</v>
      </c>
      <c r="D24" s="402" t="s">
        <v>41</v>
      </c>
      <c r="E24" s="350" t="s">
        <v>267</v>
      </c>
      <c r="F24" s="285"/>
      <c r="G24" s="321"/>
      <c r="H24"/>
    </row>
    <row r="25" spans="1:8" ht="38.25">
      <c r="A25"/>
      <c r="B25" s="320"/>
      <c r="C25" s="348" t="s">
        <v>237</v>
      </c>
      <c r="D25" s="407" t="s">
        <v>251</v>
      </c>
      <c r="E25" s="408" t="s">
        <v>268</v>
      </c>
      <c r="F25" s="285"/>
      <c r="G25" s="321"/>
      <c r="H25"/>
    </row>
    <row r="26" spans="1:8" ht="93.75">
      <c r="A26"/>
      <c r="B26" s="320"/>
      <c r="C26" s="348" t="s">
        <v>238</v>
      </c>
      <c r="D26" s="409" t="s">
        <v>239</v>
      </c>
      <c r="E26" s="378" t="s">
        <v>297</v>
      </c>
      <c r="F26" s="285"/>
      <c r="G26" s="321"/>
      <c r="H26"/>
    </row>
    <row r="27" spans="1:8" ht="56.25" customHeight="1">
      <c r="A27"/>
      <c r="B27" s="320"/>
      <c r="C27" s="379" t="s">
        <v>240</v>
      </c>
      <c r="D27" s="405" t="s">
        <v>45</v>
      </c>
      <c r="E27" s="378" t="s">
        <v>269</v>
      </c>
      <c r="F27" s="285"/>
      <c r="G27" s="321"/>
      <c r="H27"/>
    </row>
    <row r="28" spans="1:8" ht="52.5" customHeight="1">
      <c r="A28"/>
      <c r="B28" s="320"/>
      <c r="C28" s="348" t="s">
        <v>245</v>
      </c>
      <c r="D28" s="407" t="s">
        <v>84</v>
      </c>
      <c r="E28" s="350" t="s">
        <v>292</v>
      </c>
      <c r="F28" s="285"/>
      <c r="G28" s="321"/>
      <c r="H28"/>
    </row>
    <row r="29" spans="1:8" ht="45" customHeight="1">
      <c r="A29"/>
      <c r="B29" s="320"/>
      <c r="C29" s="348" t="s">
        <v>246</v>
      </c>
      <c r="D29" s="402" t="s">
        <v>222</v>
      </c>
      <c r="E29" s="350" t="s">
        <v>270</v>
      </c>
      <c r="F29" s="285"/>
      <c r="G29" s="321"/>
      <c r="H29"/>
    </row>
    <row r="30" spans="1:8" ht="25.5">
      <c r="A30"/>
      <c r="B30" s="320"/>
      <c r="C30" s="348" t="s">
        <v>247</v>
      </c>
      <c r="D30" s="402" t="s">
        <v>176</v>
      </c>
      <c r="E30" s="350" t="s">
        <v>271</v>
      </c>
      <c r="F30" s="285"/>
      <c r="G30" s="321"/>
      <c r="H30"/>
    </row>
    <row r="31" spans="1:8" ht="51">
      <c r="A31"/>
      <c r="B31" s="320"/>
      <c r="C31" s="348" t="s">
        <v>248</v>
      </c>
      <c r="D31" s="402" t="s">
        <v>26</v>
      </c>
      <c r="E31" s="350" t="s">
        <v>272</v>
      </c>
      <c r="F31" s="285"/>
      <c r="G31" s="321"/>
      <c r="H31"/>
    </row>
    <row r="32" spans="1:8" ht="15">
      <c r="A32"/>
      <c r="B32" s="320"/>
      <c r="C32" s="348" t="s">
        <v>200</v>
      </c>
      <c r="D32" s="402" t="s">
        <v>206</v>
      </c>
      <c r="E32" s="350" t="s">
        <v>273</v>
      </c>
      <c r="F32" s="285"/>
      <c r="G32" s="321"/>
      <c r="H32"/>
    </row>
    <row r="33" spans="1:8" ht="25.5">
      <c r="A33"/>
      <c r="B33" s="320"/>
      <c r="C33" s="348" t="s">
        <v>201</v>
      </c>
      <c r="D33" s="402" t="s">
        <v>177</v>
      </c>
      <c r="E33" s="350" t="s">
        <v>274</v>
      </c>
      <c r="F33" s="285"/>
      <c r="G33" s="321"/>
      <c r="H33"/>
    </row>
    <row r="34" spans="1:8" ht="51">
      <c r="A34"/>
      <c r="B34" s="320"/>
      <c r="C34" s="348" t="s">
        <v>202</v>
      </c>
      <c r="D34" s="402" t="s">
        <v>178</v>
      </c>
      <c r="E34" s="350" t="s">
        <v>275</v>
      </c>
      <c r="F34" s="285"/>
      <c r="G34" s="321"/>
      <c r="H34"/>
    </row>
    <row r="35" spans="1:8" ht="38.25">
      <c r="A35"/>
      <c r="B35" s="320"/>
      <c r="C35" s="348" t="s">
        <v>250</v>
      </c>
      <c r="D35" s="402" t="s">
        <v>179</v>
      </c>
      <c r="E35" s="350" t="s">
        <v>276</v>
      </c>
      <c r="F35" s="285"/>
      <c r="G35" s="321"/>
      <c r="H35"/>
    </row>
    <row r="36" spans="1:8" ht="38.25">
      <c r="A36"/>
      <c r="B36" s="320"/>
      <c r="C36" s="348" t="s">
        <v>249</v>
      </c>
      <c r="D36" s="402" t="s">
        <v>180</v>
      </c>
      <c r="E36" s="350" t="s">
        <v>277</v>
      </c>
      <c r="F36" s="285"/>
      <c r="G36" s="321"/>
      <c r="H36"/>
    </row>
    <row r="37" spans="1:8" ht="15">
      <c r="A37"/>
      <c r="B37" s="320"/>
      <c r="C37" s="348"/>
      <c r="D37" s="349"/>
      <c r="E37" s="350"/>
      <c r="F37" s="285"/>
      <c r="G37" s="321"/>
      <c r="H37"/>
    </row>
    <row r="38" spans="1:8" ht="15">
      <c r="A38"/>
      <c r="B38" s="320"/>
      <c r="C38" s="343" t="s">
        <v>181</v>
      </c>
      <c r="D38" s="344"/>
      <c r="E38" s="345"/>
      <c r="F38" s="285"/>
      <c r="G38" s="321"/>
      <c r="H38"/>
    </row>
    <row r="39" spans="1:8" ht="15">
      <c r="A39"/>
      <c r="B39" s="320"/>
      <c r="C39" s="348"/>
      <c r="D39" s="349"/>
      <c r="E39" s="350"/>
      <c r="F39" s="285"/>
      <c r="G39" s="321"/>
      <c r="H39"/>
    </row>
    <row r="40" spans="1:8" ht="63.75">
      <c r="A40"/>
      <c r="B40" s="320"/>
      <c r="C40" s="348" t="s">
        <v>207</v>
      </c>
      <c r="D40" s="402" t="s">
        <v>50</v>
      </c>
      <c r="E40" s="350" t="s">
        <v>280</v>
      </c>
      <c r="F40" s="285"/>
      <c r="G40" s="321"/>
      <c r="H40"/>
    </row>
    <row r="41" spans="1:8" ht="25.5">
      <c r="A41"/>
      <c r="B41" s="320"/>
      <c r="C41" s="389" t="s">
        <v>183</v>
      </c>
      <c r="D41" s="406" t="s">
        <v>51</v>
      </c>
      <c r="E41" s="390" t="s">
        <v>241</v>
      </c>
      <c r="F41" s="285"/>
      <c r="G41" s="321"/>
      <c r="H41"/>
    </row>
    <row r="42" spans="1:8" ht="15">
      <c r="A42"/>
      <c r="B42" s="320"/>
      <c r="C42" s="348" t="s">
        <v>184</v>
      </c>
      <c r="D42" s="402" t="s">
        <v>286</v>
      </c>
      <c r="E42" s="351" t="s">
        <v>281</v>
      </c>
      <c r="F42" s="285"/>
      <c r="G42" s="321"/>
      <c r="H42"/>
    </row>
    <row r="43" spans="1:8" ht="15">
      <c r="A43"/>
      <c r="B43" s="320"/>
      <c r="C43" s="348" t="s">
        <v>164</v>
      </c>
      <c r="D43" s="402" t="s">
        <v>285</v>
      </c>
      <c r="E43" s="351" t="s">
        <v>282</v>
      </c>
      <c r="F43" s="285"/>
      <c r="G43" s="321"/>
      <c r="H43"/>
    </row>
    <row r="44" spans="1:8" ht="25.5">
      <c r="A44"/>
      <c r="B44" s="320"/>
      <c r="C44" s="348" t="s">
        <v>188</v>
      </c>
      <c r="D44" s="402" t="s">
        <v>284</v>
      </c>
      <c r="E44" s="351" t="s">
        <v>283</v>
      </c>
      <c r="F44" s="285"/>
      <c r="G44" s="321"/>
      <c r="H44"/>
    </row>
    <row r="45" spans="1:8" ht="15">
      <c r="A45"/>
      <c r="B45" s="320"/>
      <c r="C45" s="348" t="s">
        <v>185</v>
      </c>
      <c r="D45" s="402" t="s">
        <v>186</v>
      </c>
      <c r="E45" s="351" t="s">
        <v>287</v>
      </c>
      <c r="F45" s="285"/>
      <c r="G45" s="321"/>
      <c r="H45"/>
    </row>
    <row r="46" spans="1:8" ht="15">
      <c r="A46"/>
      <c r="B46" s="320"/>
      <c r="C46" s="348" t="s">
        <v>187</v>
      </c>
      <c r="D46" s="402" t="s">
        <v>52</v>
      </c>
      <c r="E46" s="351" t="s">
        <v>189</v>
      </c>
      <c r="F46" s="285"/>
      <c r="G46" s="321"/>
      <c r="H46"/>
    </row>
    <row r="47" spans="1:8" ht="15">
      <c r="A47"/>
      <c r="B47" s="320"/>
      <c r="C47" s="348" t="s">
        <v>190</v>
      </c>
      <c r="D47" s="402" t="s">
        <v>53</v>
      </c>
      <c r="E47" s="351" t="s">
        <v>191</v>
      </c>
      <c r="F47" s="285"/>
      <c r="G47" s="321"/>
      <c r="H47"/>
    </row>
    <row r="48" spans="1:8" ht="15">
      <c r="A48"/>
      <c r="B48" s="320"/>
      <c r="C48" s="348" t="s">
        <v>192</v>
      </c>
      <c r="D48" s="402" t="s">
        <v>54</v>
      </c>
      <c r="E48" s="351" t="s">
        <v>193</v>
      </c>
      <c r="F48" s="285"/>
      <c r="G48" s="321"/>
      <c r="H48"/>
    </row>
    <row r="49" spans="1:8" ht="15">
      <c r="A49"/>
      <c r="B49" s="320"/>
      <c r="C49" s="348" t="s">
        <v>194</v>
      </c>
      <c r="D49" s="402" t="s">
        <v>55</v>
      </c>
      <c r="E49" s="351" t="s">
        <v>195</v>
      </c>
      <c r="F49" s="285"/>
      <c r="G49" s="321"/>
      <c r="H49"/>
    </row>
    <row r="50" spans="1:8" ht="15">
      <c r="A50"/>
      <c r="B50" s="320"/>
      <c r="C50" s="348" t="s">
        <v>169</v>
      </c>
      <c r="D50" s="402" t="s">
        <v>196</v>
      </c>
      <c r="E50" s="351" t="s">
        <v>197</v>
      </c>
      <c r="F50" s="285"/>
      <c r="G50" s="321"/>
      <c r="H50"/>
    </row>
    <row r="51" spans="1:8" ht="15">
      <c r="A51"/>
      <c r="B51" s="320"/>
      <c r="C51" s="352"/>
      <c r="D51" s="353"/>
      <c r="E51" s="354"/>
      <c r="F51" s="285"/>
      <c r="G51" s="321"/>
      <c r="H51"/>
    </row>
    <row r="52" spans="1:8" ht="15">
      <c r="A52"/>
      <c r="B52" s="320"/>
      <c r="C52" s="343" t="s">
        <v>198</v>
      </c>
      <c r="D52" s="344"/>
      <c r="E52" s="345"/>
      <c r="F52" s="285"/>
      <c r="G52" s="321"/>
      <c r="H52"/>
    </row>
    <row r="53" spans="1:8" ht="4.5" customHeight="1">
      <c r="A53"/>
      <c r="B53" s="320"/>
      <c r="C53" s="359"/>
      <c r="D53" s="360"/>
      <c r="E53" s="361"/>
      <c r="F53" s="285"/>
      <c r="G53" s="321"/>
      <c r="H53"/>
    </row>
    <row r="54" spans="1:8" ht="51.75" customHeight="1">
      <c r="A54"/>
      <c r="B54" s="320"/>
      <c r="C54" s="416" t="s">
        <v>252</v>
      </c>
      <c r="D54" s="416"/>
      <c r="E54" s="416"/>
      <c r="F54" s="285"/>
      <c r="G54" s="321"/>
      <c r="H54"/>
    </row>
    <row r="55" spans="1:8" ht="3.75" customHeight="1">
      <c r="A55"/>
      <c r="B55" s="320"/>
      <c r="C55" s="364"/>
      <c r="D55" s="362"/>
      <c r="E55" s="363"/>
      <c r="F55" s="285"/>
      <c r="G55" s="321"/>
      <c r="H55"/>
    </row>
    <row r="56" spans="1:8" ht="38.25">
      <c r="A56"/>
      <c r="B56" s="320"/>
      <c r="C56" s="348"/>
      <c r="D56" s="349" t="s">
        <v>43</v>
      </c>
      <c r="E56" s="358" t="s">
        <v>288</v>
      </c>
      <c r="F56" s="285"/>
      <c r="G56" s="321"/>
      <c r="H56"/>
    </row>
    <row r="57" spans="1:8" ht="25.5">
      <c r="A57"/>
      <c r="B57" s="320"/>
      <c r="C57" s="348"/>
      <c r="D57" s="349" t="s">
        <v>203</v>
      </c>
      <c r="E57" s="350" t="s">
        <v>289</v>
      </c>
      <c r="F57" s="285"/>
      <c r="G57" s="321"/>
      <c r="H57"/>
    </row>
    <row r="58" spans="1:8" ht="38.25">
      <c r="A58"/>
      <c r="B58" s="320"/>
      <c r="C58" s="348"/>
      <c r="D58" s="349" t="s">
        <v>77</v>
      </c>
      <c r="E58" s="350" t="s">
        <v>290</v>
      </c>
      <c r="F58" s="285"/>
      <c r="G58" s="321"/>
      <c r="H58"/>
    </row>
    <row r="59" spans="1:12" s="117" customFormat="1" ht="25.5">
      <c r="A59"/>
      <c r="B59" s="320"/>
      <c r="C59" s="348"/>
      <c r="D59" s="349" t="s">
        <v>27</v>
      </c>
      <c r="E59" s="350" t="s">
        <v>291</v>
      </c>
      <c r="F59" s="285"/>
      <c r="G59" s="321"/>
      <c r="H59"/>
      <c r="I59" s="248"/>
      <c r="J59" s="248"/>
      <c r="K59" s="248"/>
      <c r="L59" s="248"/>
    </row>
    <row r="60" spans="1:8" ht="15.75" thickBot="1">
      <c r="A60"/>
      <c r="B60" s="322"/>
      <c r="C60" s="323"/>
      <c r="D60" s="323"/>
      <c r="E60" s="323"/>
      <c r="F60" s="323"/>
      <c r="G60" s="324"/>
      <c r="H60"/>
    </row>
    <row r="61" spans="1:8" ht="15">
      <c r="A61" s="11"/>
      <c r="B61" s="299" t="s">
        <v>300</v>
      </c>
      <c r="C61" s="10"/>
      <c r="D61" s="10"/>
      <c r="E61" s="11"/>
      <c r="F61" s="105"/>
      <c r="G61" s="11"/>
      <c r="H61" s="11"/>
    </row>
    <row r="62" spans="1:8" ht="15">
      <c r="A62" s="11"/>
      <c r="B62" s="11"/>
      <c r="C62" s="11"/>
      <c r="D62" s="11"/>
      <c r="E62" s="11"/>
      <c r="F62" s="11"/>
      <c r="G62" s="11"/>
      <c r="H62" s="11"/>
    </row>
    <row r="63" spans="1:8" ht="15">
      <c r="A63" s="11"/>
      <c r="B63" s="11"/>
      <c r="C63" s="11"/>
      <c r="D63" s="11"/>
      <c r="E63" s="11"/>
      <c r="F63" s="11"/>
      <c r="G63" s="11"/>
      <c r="H63" s="11"/>
    </row>
    <row r="64" spans="1:8" ht="15">
      <c r="A64" s="11"/>
      <c r="B64" s="11"/>
      <c r="C64" s="11"/>
      <c r="D64" s="11"/>
      <c r="E64" s="11"/>
      <c r="F64" s="11"/>
      <c r="G64" s="11"/>
      <c r="H64" s="11"/>
    </row>
    <row r="65" spans="1:8" ht="15">
      <c r="A65" s="11"/>
      <c r="B65" s="11"/>
      <c r="C65" s="11"/>
      <c r="D65" s="11"/>
      <c r="E65" s="11"/>
      <c r="F65" s="11"/>
      <c r="G65" s="11"/>
      <c r="H65" s="11"/>
    </row>
  </sheetData>
  <sheetProtection sheet="1"/>
  <mergeCells count="2">
    <mergeCell ref="C6:E6"/>
    <mergeCell ref="C54:E54"/>
  </mergeCells>
  <printOptions/>
  <pageMargins left="0.7086614173228347" right="0.7086614173228347" top="0.7480314960629921" bottom="0.7480314960629921" header="0.31496062992125984" footer="0.31496062992125984"/>
  <pageSetup horizontalDpi="600" verticalDpi="600" orientation="portrait" paperSize="9" scale="38" r:id="rId2"/>
  <drawing r:id="rId1"/>
</worksheet>
</file>

<file path=xl/worksheets/sheet3.xml><?xml version="1.0" encoding="utf-8"?>
<worksheet xmlns="http://schemas.openxmlformats.org/spreadsheetml/2006/main" xmlns:r="http://schemas.openxmlformats.org/officeDocument/2006/relationships">
  <sheetPr>
    <tabColor rgb="FF008080"/>
    <pageSetUpPr fitToPage="1"/>
  </sheetPr>
  <dimension ref="A1:U168"/>
  <sheetViews>
    <sheetView zoomScaleSheetLayoutView="100" zoomScalePageLayoutView="0" workbookViewId="0" topLeftCell="A67">
      <selection activeCell="A1" sqref="A1"/>
    </sheetView>
  </sheetViews>
  <sheetFormatPr defaultColWidth="9.140625" defaultRowHeight="15"/>
  <cols>
    <col min="1" max="1" width="2.00390625" style="117" customWidth="1"/>
    <col min="2" max="2" width="0.9921875" style="125" customWidth="1"/>
    <col min="3" max="3" width="0.85546875" style="125" customWidth="1"/>
    <col min="4" max="4" width="31.7109375" style="117" customWidth="1"/>
    <col min="5" max="5" width="0.9921875" style="126" customWidth="1"/>
    <col min="6" max="6" width="11.00390625" style="117" customWidth="1"/>
    <col min="7" max="7" width="10.00390625" style="130" customWidth="1"/>
    <col min="8" max="8" width="61.57421875" style="117" customWidth="1"/>
    <col min="9" max="10" width="0.9921875" style="117" customWidth="1"/>
    <col min="11" max="11" width="2.00390625" style="117" customWidth="1"/>
    <col min="12" max="12" width="9.8515625" style="117" bestFit="1" customWidth="1"/>
    <col min="13" max="13" width="12.57421875" style="117" bestFit="1" customWidth="1"/>
    <col min="14" max="14" width="9.140625" style="117" customWidth="1"/>
    <col min="15" max="15" width="10.140625" style="117" bestFit="1" customWidth="1"/>
    <col min="16" max="16" width="6.140625" style="117" customWidth="1"/>
    <col min="17" max="17" width="2.57421875" style="117" customWidth="1"/>
    <col min="18" max="16384" width="9.140625" style="117" customWidth="1"/>
  </cols>
  <sheetData>
    <row r="1" spans="1:11" ht="11.25" customHeight="1" thickBot="1">
      <c r="A1" s="11"/>
      <c r="B1" s="10"/>
      <c r="C1" s="10"/>
      <c r="D1" s="11"/>
      <c r="E1" s="105"/>
      <c r="F1" s="11"/>
      <c r="G1" s="12"/>
      <c r="H1" s="11"/>
      <c r="I1" s="11"/>
      <c r="J1" s="11"/>
      <c r="K1" s="11"/>
    </row>
    <row r="2" spans="1:17" ht="4.5" customHeight="1">
      <c r="A2" s="11"/>
      <c r="B2" s="79"/>
      <c r="C2" s="80"/>
      <c r="D2" s="81"/>
      <c r="E2" s="106"/>
      <c r="F2" s="82"/>
      <c r="G2" s="82"/>
      <c r="H2" s="81"/>
      <c r="I2" s="81"/>
      <c r="J2" s="83"/>
      <c r="K2" s="14"/>
      <c r="L2" s="118"/>
      <c r="M2" s="118"/>
      <c r="N2" s="118"/>
      <c r="O2" s="118"/>
      <c r="P2" s="118"/>
      <c r="Q2" s="118"/>
    </row>
    <row r="3" spans="1:17" s="120" customFormat="1" ht="23.25">
      <c r="A3" s="1"/>
      <c r="B3" s="84"/>
      <c r="C3" s="57"/>
      <c r="D3" s="132" t="s">
        <v>100</v>
      </c>
      <c r="E3" s="107"/>
      <c r="F3" s="8"/>
      <c r="G3" s="18"/>
      <c r="H3" s="8"/>
      <c r="I3" s="8"/>
      <c r="J3" s="85"/>
      <c r="K3" s="8"/>
      <c r="L3" s="119"/>
      <c r="M3" s="119"/>
      <c r="N3" s="119"/>
      <c r="O3" s="119"/>
      <c r="P3" s="119"/>
      <c r="Q3" s="119"/>
    </row>
    <row r="4" spans="1:17" s="120" customFormat="1" ht="21" customHeight="1">
      <c r="A4" s="1"/>
      <c r="B4" s="84"/>
      <c r="C4" s="57"/>
      <c r="D4" s="132" t="s">
        <v>101</v>
      </c>
      <c r="E4" s="20"/>
      <c r="F4" s="20"/>
      <c r="G4" s="20"/>
      <c r="H4" s="131"/>
      <c r="I4" s="8"/>
      <c r="J4" s="85"/>
      <c r="K4" s="8"/>
      <c r="L4" s="119"/>
      <c r="M4" s="119"/>
      <c r="N4" s="119"/>
      <c r="O4" s="119"/>
      <c r="P4" s="119"/>
      <c r="Q4" s="119"/>
    </row>
    <row r="5" spans="1:17" s="120" customFormat="1" ht="11.25" customHeight="1">
      <c r="A5" s="1"/>
      <c r="B5" s="84"/>
      <c r="C5" s="57"/>
      <c r="D5" s="17"/>
      <c r="E5" s="107"/>
      <c r="F5" s="8"/>
      <c r="G5" s="18"/>
      <c r="H5" s="8"/>
      <c r="I5" s="8"/>
      <c r="J5" s="85"/>
      <c r="K5" s="8"/>
      <c r="L5" s="119"/>
      <c r="M5" s="119"/>
      <c r="N5" s="119"/>
      <c r="O5" s="119"/>
      <c r="P5" s="119"/>
      <c r="Q5" s="119"/>
    </row>
    <row r="6" spans="1:17" s="120" customFormat="1" ht="15">
      <c r="A6" s="1"/>
      <c r="B6" s="84"/>
      <c r="C6" s="57"/>
      <c r="D6" s="135" t="s">
        <v>105</v>
      </c>
      <c r="E6" s="134" t="s">
        <v>99</v>
      </c>
      <c r="F6" s="418"/>
      <c r="G6" s="419"/>
      <c r="H6" s="318"/>
      <c r="I6" s="8"/>
      <c r="J6" s="85"/>
      <c r="K6" s="8"/>
      <c r="L6" s="119"/>
      <c r="M6" s="119"/>
      <c r="N6" s="119"/>
      <c r="O6" s="119"/>
      <c r="P6" s="119"/>
      <c r="Q6" s="119"/>
    </row>
    <row r="7" spans="1:17" s="120" customFormat="1" ht="5.25" customHeight="1">
      <c r="A7" s="1"/>
      <c r="B7" s="84"/>
      <c r="C7" s="57"/>
      <c r="D7" s="135"/>
      <c r="E7" s="133"/>
      <c r="F7" s="8"/>
      <c r="G7" s="8"/>
      <c r="H7" s="8"/>
      <c r="I7" s="8"/>
      <c r="J7" s="85"/>
      <c r="K7" s="8"/>
      <c r="L7" s="119"/>
      <c r="M7" s="119"/>
      <c r="N7" s="119"/>
      <c r="O7" s="119"/>
      <c r="P7" s="119"/>
      <c r="Q7" s="119"/>
    </row>
    <row r="8" spans="1:17" s="120" customFormat="1" ht="15">
      <c r="A8" s="1"/>
      <c r="B8" s="84"/>
      <c r="C8" s="57"/>
      <c r="D8" s="135" t="s">
        <v>102</v>
      </c>
      <c r="E8" s="134" t="s">
        <v>99</v>
      </c>
      <c r="F8" s="418"/>
      <c r="G8" s="419"/>
      <c r="H8" s="317"/>
      <c r="I8" s="8"/>
      <c r="J8" s="85"/>
      <c r="K8" s="8"/>
      <c r="L8" s="119"/>
      <c r="M8" s="119"/>
      <c r="N8" s="119"/>
      <c r="O8" s="119"/>
      <c r="P8" s="119"/>
      <c r="Q8" s="119"/>
    </row>
    <row r="9" spans="1:17" s="120" customFormat="1" ht="5.25" customHeight="1">
      <c r="A9" s="1"/>
      <c r="B9" s="84"/>
      <c r="C9" s="57"/>
      <c r="D9" s="135"/>
      <c r="E9" s="133"/>
      <c r="F9" s="8"/>
      <c r="G9" s="8"/>
      <c r="H9" s="8"/>
      <c r="I9" s="8"/>
      <c r="J9" s="85"/>
      <c r="K9" s="8"/>
      <c r="L9" s="119"/>
      <c r="M9" s="119"/>
      <c r="N9" s="119"/>
      <c r="O9" s="119"/>
      <c r="P9" s="119"/>
      <c r="Q9" s="119"/>
    </row>
    <row r="10" spans="1:17" s="120" customFormat="1" ht="15">
      <c r="A10" s="1"/>
      <c r="B10" s="84"/>
      <c r="C10" s="57"/>
      <c r="D10" s="135" t="s">
        <v>103</v>
      </c>
      <c r="E10" s="134" t="s">
        <v>99</v>
      </c>
      <c r="F10" s="306"/>
      <c r="G10" s="8"/>
      <c r="H10" s="318"/>
      <c r="I10" s="8"/>
      <c r="J10" s="85"/>
      <c r="K10" s="8"/>
      <c r="L10" s="119"/>
      <c r="M10" s="119"/>
      <c r="N10" s="119"/>
      <c r="O10" s="119"/>
      <c r="P10" s="119"/>
      <c r="Q10" s="119"/>
    </row>
    <row r="11" spans="1:17" s="120" customFormat="1" ht="5.25" customHeight="1">
      <c r="A11" s="1"/>
      <c r="B11" s="84"/>
      <c r="C11" s="57"/>
      <c r="D11" s="135"/>
      <c r="E11" s="133"/>
      <c r="F11" s="8"/>
      <c r="G11" s="8"/>
      <c r="H11" s="8"/>
      <c r="I11" s="8"/>
      <c r="J11" s="85"/>
      <c r="K11" s="8"/>
      <c r="L11" s="119"/>
      <c r="M11" s="119"/>
      <c r="N11" s="119"/>
      <c r="O11" s="119"/>
      <c r="P11" s="119"/>
      <c r="Q11" s="119"/>
    </row>
    <row r="12" spans="1:17" s="120" customFormat="1" ht="15">
      <c r="A12" s="1"/>
      <c r="B12" s="84"/>
      <c r="C12" s="57"/>
      <c r="D12" s="135" t="s">
        <v>104</v>
      </c>
      <c r="E12" s="134" t="s">
        <v>99</v>
      </c>
      <c r="F12" s="331"/>
      <c r="G12" s="8"/>
      <c r="H12" s="319" t="s">
        <v>149</v>
      </c>
      <c r="I12" s="8"/>
      <c r="J12" s="85"/>
      <c r="K12" s="8"/>
      <c r="L12" s="119"/>
      <c r="M12" s="119"/>
      <c r="N12" s="119"/>
      <c r="O12" s="119"/>
      <c r="P12" s="119"/>
      <c r="Q12" s="119"/>
    </row>
    <row r="13" spans="1:17" s="120" customFormat="1" ht="8.25" customHeight="1">
      <c r="A13" s="1"/>
      <c r="B13" s="84"/>
      <c r="C13" s="57"/>
      <c r="D13" s="8"/>
      <c r="E13" s="18"/>
      <c r="F13" s="18"/>
      <c r="G13" s="18"/>
      <c r="H13" s="8"/>
      <c r="I13" s="8"/>
      <c r="J13" s="85"/>
      <c r="K13" s="8"/>
      <c r="L13" s="119"/>
      <c r="M13" s="119"/>
      <c r="N13" s="119"/>
      <c r="O13" s="119"/>
      <c r="P13" s="119"/>
      <c r="Q13" s="119"/>
    </row>
    <row r="14" spans="1:17" s="147" customFormat="1" ht="16.5" customHeight="1">
      <c r="A14" s="136"/>
      <c r="B14" s="137"/>
      <c r="C14" s="138"/>
      <c r="D14" s="139" t="s">
        <v>90</v>
      </c>
      <c r="E14" s="140"/>
      <c r="F14" s="141"/>
      <c r="G14" s="141"/>
      <c r="H14" s="142"/>
      <c r="I14" s="143"/>
      <c r="J14" s="144"/>
      <c r="K14" s="145"/>
      <c r="L14" s="146"/>
      <c r="M14" s="146"/>
      <c r="N14" s="146"/>
      <c r="O14" s="146"/>
      <c r="P14" s="146"/>
      <c r="Q14" s="146"/>
    </row>
    <row r="15" spans="1:19" s="175" customFormat="1" ht="30.75" customHeight="1">
      <c r="A15" s="167"/>
      <c r="B15" s="168"/>
      <c r="C15" s="169"/>
      <c r="D15" s="420" t="s">
        <v>106</v>
      </c>
      <c r="E15" s="420"/>
      <c r="F15" s="420"/>
      <c r="G15" s="420"/>
      <c r="H15" s="420"/>
      <c r="I15" s="170"/>
      <c r="J15" s="171"/>
      <c r="K15" s="172"/>
      <c r="L15" s="173"/>
      <c r="M15" s="173"/>
      <c r="N15" s="173"/>
      <c r="O15" s="173"/>
      <c r="P15" s="173"/>
      <c r="Q15" s="173"/>
      <c r="R15" s="174"/>
      <c r="S15" s="174"/>
    </row>
    <row r="16" spans="1:19" ht="4.5" customHeight="1">
      <c r="A16" s="11"/>
      <c r="B16" s="86"/>
      <c r="C16" s="61"/>
      <c r="D16" s="51"/>
      <c r="E16" s="108"/>
      <c r="F16" s="54"/>
      <c r="G16" s="47"/>
      <c r="H16" s="52"/>
      <c r="I16" s="62"/>
      <c r="J16" s="88"/>
      <c r="K16" s="14"/>
      <c r="L16" s="121"/>
      <c r="M16" s="121"/>
      <c r="N16" s="121"/>
      <c r="O16" s="121"/>
      <c r="P16" s="121"/>
      <c r="Q16" s="121"/>
      <c r="R16" s="122"/>
      <c r="S16" s="122"/>
    </row>
    <row r="17" spans="1:17" ht="12.75" customHeight="1">
      <c r="A17" s="11"/>
      <c r="B17" s="86"/>
      <c r="C17" s="61"/>
      <c r="D17" s="98" t="s">
        <v>87</v>
      </c>
      <c r="E17" s="18" t="s">
        <v>99</v>
      </c>
      <c r="F17" s="307"/>
      <c r="G17" s="36" t="s">
        <v>0</v>
      </c>
      <c r="H17" s="158" t="s">
        <v>108</v>
      </c>
      <c r="I17" s="63"/>
      <c r="J17" s="87"/>
      <c r="K17" s="14"/>
      <c r="L17" s="118"/>
      <c r="M17" s="118"/>
      <c r="N17" s="118"/>
      <c r="O17" s="118"/>
      <c r="P17" s="118"/>
      <c r="Q17" s="118"/>
    </row>
    <row r="18" spans="1:19" ht="4.5" customHeight="1">
      <c r="A18" s="11"/>
      <c r="B18" s="86"/>
      <c r="C18" s="61"/>
      <c r="D18" s="53"/>
      <c r="E18" s="109"/>
      <c r="F18" s="55"/>
      <c r="G18" s="49"/>
      <c r="H18" s="159"/>
      <c r="I18" s="62"/>
      <c r="J18" s="88"/>
      <c r="K18" s="14"/>
      <c r="L18" s="121"/>
      <c r="M18" s="121"/>
      <c r="N18" s="121"/>
      <c r="O18" s="121"/>
      <c r="P18" s="121"/>
      <c r="Q18" s="121"/>
      <c r="R18" s="122"/>
      <c r="S18" s="122"/>
    </row>
    <row r="19" spans="1:19" ht="4.5" customHeight="1">
      <c r="A19" s="11"/>
      <c r="B19" s="86"/>
      <c r="C19" s="61"/>
      <c r="D19" s="44"/>
      <c r="E19" s="110"/>
      <c r="F19" s="44"/>
      <c r="G19" s="36"/>
      <c r="H19" s="160"/>
      <c r="I19" s="62"/>
      <c r="J19" s="88"/>
      <c r="K19" s="14"/>
      <c r="L19" s="121"/>
      <c r="M19" s="121"/>
      <c r="N19" s="121"/>
      <c r="O19" s="121"/>
      <c r="P19" s="121"/>
      <c r="Q19" s="121"/>
      <c r="R19" s="122"/>
      <c r="S19" s="122"/>
    </row>
    <row r="20" spans="1:19" ht="9.75" customHeight="1">
      <c r="A20" s="11"/>
      <c r="B20" s="86"/>
      <c r="C20" s="61"/>
      <c r="D20" s="133" t="s">
        <v>35</v>
      </c>
      <c r="E20" s="110"/>
      <c r="F20" s="36"/>
      <c r="G20" s="36"/>
      <c r="H20" s="161"/>
      <c r="I20" s="64"/>
      <c r="J20" s="88"/>
      <c r="K20" s="13"/>
      <c r="L20" s="121"/>
      <c r="M20" s="121"/>
      <c r="N20" s="121"/>
      <c r="O20" s="121"/>
      <c r="P20" s="121"/>
      <c r="Q20" s="121"/>
      <c r="R20" s="122"/>
      <c r="S20" s="122"/>
    </row>
    <row r="21" spans="1:19" ht="4.5" customHeight="1">
      <c r="A21" s="11"/>
      <c r="B21" s="86"/>
      <c r="C21" s="61"/>
      <c r="D21" s="44"/>
      <c r="E21" s="110"/>
      <c r="F21" s="36"/>
      <c r="G21" s="36"/>
      <c r="H21" s="160"/>
      <c r="I21" s="62"/>
      <c r="J21" s="88"/>
      <c r="K21" s="14"/>
      <c r="L21" s="121"/>
      <c r="M21" s="121"/>
      <c r="N21" s="121"/>
      <c r="O21" s="121"/>
      <c r="P21" s="121"/>
      <c r="Q21" s="121"/>
      <c r="R21" s="122"/>
      <c r="S21" s="122"/>
    </row>
    <row r="22" spans="1:19" ht="4.5" customHeight="1">
      <c r="A22" s="11"/>
      <c r="B22" s="86"/>
      <c r="C22" s="61"/>
      <c r="D22" s="51"/>
      <c r="E22" s="108"/>
      <c r="F22" s="47"/>
      <c r="G22" s="47"/>
      <c r="H22" s="162"/>
      <c r="I22" s="62"/>
      <c r="J22" s="88"/>
      <c r="K22" s="14"/>
      <c r="L22" s="121"/>
      <c r="M22" s="121"/>
      <c r="N22" s="121"/>
      <c r="O22" s="121"/>
      <c r="P22" s="121"/>
      <c r="Q22" s="121"/>
      <c r="R22" s="122"/>
      <c r="S22" s="122"/>
    </row>
    <row r="23" spans="1:19" ht="12.75">
      <c r="A23" s="11"/>
      <c r="B23" s="86"/>
      <c r="C23" s="61"/>
      <c r="D23" s="99" t="s">
        <v>36</v>
      </c>
      <c r="E23" s="18" t="s">
        <v>99</v>
      </c>
      <c r="F23" s="307"/>
      <c r="G23" s="36" t="s">
        <v>0</v>
      </c>
      <c r="H23" s="163" t="s">
        <v>37</v>
      </c>
      <c r="I23" s="62"/>
      <c r="J23" s="88"/>
      <c r="K23" s="14"/>
      <c r="L23" s="121"/>
      <c r="M23" s="121"/>
      <c r="N23" s="121"/>
      <c r="O23" s="121"/>
      <c r="P23" s="121"/>
      <c r="Q23" s="121"/>
      <c r="R23" s="122"/>
      <c r="S23" s="122"/>
    </row>
    <row r="24" spans="1:19" ht="4.5" customHeight="1">
      <c r="A24" s="11"/>
      <c r="B24" s="86"/>
      <c r="C24" s="61"/>
      <c r="D24" s="53"/>
      <c r="E24" s="109"/>
      <c r="F24" s="49"/>
      <c r="G24" s="49"/>
      <c r="H24" s="159"/>
      <c r="I24" s="62"/>
      <c r="J24" s="88"/>
      <c r="K24" s="14"/>
      <c r="L24" s="121"/>
      <c r="M24" s="121"/>
      <c r="N24" s="121"/>
      <c r="O24" s="121"/>
      <c r="P24" s="121"/>
      <c r="Q24" s="121"/>
      <c r="R24" s="122"/>
      <c r="S24" s="122"/>
    </row>
    <row r="25" spans="1:19" ht="4.5" customHeight="1">
      <c r="A25" s="11"/>
      <c r="B25" s="86"/>
      <c r="C25" s="61"/>
      <c r="D25" s="44"/>
      <c r="E25" s="110"/>
      <c r="F25" s="36"/>
      <c r="G25" s="36"/>
      <c r="H25" s="160"/>
      <c r="I25" s="62"/>
      <c r="J25" s="88"/>
      <c r="K25" s="14"/>
      <c r="L25" s="121"/>
      <c r="M25" s="121"/>
      <c r="N25" s="121"/>
      <c r="O25" s="121"/>
      <c r="P25" s="121"/>
      <c r="Q25" s="121"/>
      <c r="R25" s="122"/>
      <c r="S25" s="122"/>
    </row>
    <row r="26" spans="1:19" ht="9.75" customHeight="1">
      <c r="A26" s="11"/>
      <c r="B26" s="86"/>
      <c r="C26" s="61"/>
      <c r="D26" s="133" t="s">
        <v>35</v>
      </c>
      <c r="E26" s="110"/>
      <c r="F26" s="36"/>
      <c r="G26" s="36"/>
      <c r="H26" s="161"/>
      <c r="I26" s="64"/>
      <c r="J26" s="88"/>
      <c r="K26" s="13"/>
      <c r="L26" s="121"/>
      <c r="M26" s="121"/>
      <c r="N26" s="121"/>
      <c r="O26" s="121"/>
      <c r="P26" s="121"/>
      <c r="Q26" s="121"/>
      <c r="R26" s="122"/>
      <c r="S26" s="122"/>
    </row>
    <row r="27" spans="1:19" ht="5.25" customHeight="1">
      <c r="A27" s="11"/>
      <c r="B27" s="86"/>
      <c r="C27" s="61"/>
      <c r="D27" s="19"/>
      <c r="E27" s="110"/>
      <c r="F27" s="34"/>
      <c r="G27" s="36"/>
      <c r="H27" s="161"/>
      <c r="I27" s="64"/>
      <c r="J27" s="88"/>
      <c r="K27" s="13"/>
      <c r="L27" s="121"/>
      <c r="M27" s="121"/>
      <c r="N27" s="121"/>
      <c r="O27" s="121"/>
      <c r="P27" s="121"/>
      <c r="Q27" s="121"/>
      <c r="R27" s="122"/>
      <c r="S27" s="122"/>
    </row>
    <row r="28" spans="1:19" ht="5.25" customHeight="1">
      <c r="A28" s="11"/>
      <c r="B28" s="86"/>
      <c r="C28" s="61"/>
      <c r="D28" s="45"/>
      <c r="E28" s="108"/>
      <c r="F28" s="46"/>
      <c r="G28" s="47"/>
      <c r="H28" s="164"/>
      <c r="I28" s="64"/>
      <c r="J28" s="88"/>
      <c r="K28" s="13"/>
      <c r="L28" s="121"/>
      <c r="M28" s="121"/>
      <c r="N28" s="121"/>
      <c r="O28" s="121"/>
      <c r="P28" s="121"/>
      <c r="Q28" s="121"/>
      <c r="R28" s="122"/>
      <c r="S28" s="122"/>
    </row>
    <row r="29" spans="1:19" ht="12.75">
      <c r="A29" s="11"/>
      <c r="B29" s="86"/>
      <c r="C29" s="61"/>
      <c r="D29" s="100" t="s">
        <v>19</v>
      </c>
      <c r="E29" s="18" t="s">
        <v>99</v>
      </c>
      <c r="F29" s="307"/>
      <c r="G29" s="36" t="s">
        <v>21</v>
      </c>
      <c r="H29" s="163" t="s">
        <v>37</v>
      </c>
      <c r="I29" s="62"/>
      <c r="J29" s="88"/>
      <c r="K29" s="13"/>
      <c r="L29" s="121"/>
      <c r="M29" s="121"/>
      <c r="N29" s="121"/>
      <c r="O29" s="121"/>
      <c r="P29" s="121"/>
      <c r="Q29" s="121"/>
      <c r="R29" s="122"/>
      <c r="S29" s="122"/>
    </row>
    <row r="30" spans="1:19" ht="5.25" customHeight="1">
      <c r="A30" s="11"/>
      <c r="B30" s="86"/>
      <c r="C30" s="61"/>
      <c r="D30" s="100"/>
      <c r="E30" s="18"/>
      <c r="F30" s="36"/>
      <c r="G30" s="36"/>
      <c r="H30" s="163"/>
      <c r="I30" s="62"/>
      <c r="J30" s="88"/>
      <c r="K30" s="13"/>
      <c r="L30" s="121"/>
      <c r="M30" s="121"/>
      <c r="N30" s="121"/>
      <c r="O30" s="121"/>
      <c r="P30" s="121"/>
      <c r="Q30" s="121"/>
      <c r="R30" s="122"/>
      <c r="S30" s="122"/>
    </row>
    <row r="31" spans="1:19" ht="12.75">
      <c r="A31" s="11"/>
      <c r="B31" s="86"/>
      <c r="C31" s="61"/>
      <c r="D31" s="100" t="s">
        <v>20</v>
      </c>
      <c r="E31" s="18" t="s">
        <v>99</v>
      </c>
      <c r="F31" s="307"/>
      <c r="G31" s="36" t="s">
        <v>22</v>
      </c>
      <c r="H31" s="163" t="s">
        <v>37</v>
      </c>
      <c r="I31" s="62"/>
      <c r="J31" s="88"/>
      <c r="K31" s="13"/>
      <c r="L31" s="121"/>
      <c r="M31" s="121"/>
      <c r="N31" s="121"/>
      <c r="O31" s="121"/>
      <c r="P31" s="121"/>
      <c r="Q31" s="121"/>
      <c r="R31" s="122"/>
      <c r="S31" s="122"/>
    </row>
    <row r="32" spans="1:19" ht="5.25" customHeight="1">
      <c r="A32" s="11"/>
      <c r="B32" s="86"/>
      <c r="C32" s="61"/>
      <c r="D32" s="100"/>
      <c r="E32" s="18"/>
      <c r="F32" s="36"/>
      <c r="G32" s="36"/>
      <c r="H32" s="163"/>
      <c r="I32" s="62"/>
      <c r="J32" s="88"/>
      <c r="K32" s="13"/>
      <c r="L32" s="121"/>
      <c r="M32" s="121"/>
      <c r="N32" s="121"/>
      <c r="O32" s="121"/>
      <c r="P32" s="121"/>
      <c r="Q32" s="121"/>
      <c r="R32" s="122"/>
      <c r="S32" s="122"/>
    </row>
    <row r="33" spans="1:19" ht="12.75">
      <c r="A33" s="11"/>
      <c r="B33" s="86"/>
      <c r="C33" s="61"/>
      <c r="D33" s="100" t="s">
        <v>23</v>
      </c>
      <c r="E33" s="18" t="s">
        <v>99</v>
      </c>
      <c r="F33" s="37">
        <f>F29*F31*SQRT(3)/1000</f>
        <v>0</v>
      </c>
      <c r="G33" s="36" t="s">
        <v>23</v>
      </c>
      <c r="H33" s="163"/>
      <c r="I33" s="62"/>
      <c r="J33" s="88"/>
      <c r="K33" s="13"/>
      <c r="L33" s="121"/>
      <c r="M33" s="121"/>
      <c r="N33" s="121"/>
      <c r="O33" s="121"/>
      <c r="P33" s="121"/>
      <c r="Q33" s="121"/>
      <c r="R33" s="122"/>
      <c r="S33" s="122"/>
    </row>
    <row r="34" spans="1:19" ht="5.25" customHeight="1">
      <c r="A34" s="11"/>
      <c r="B34" s="86"/>
      <c r="C34" s="61"/>
      <c r="D34" s="100"/>
      <c r="E34" s="333"/>
      <c r="F34" s="333"/>
      <c r="G34" s="333"/>
      <c r="H34" s="163"/>
      <c r="I34" s="62"/>
      <c r="J34" s="88"/>
      <c r="K34" s="13"/>
      <c r="L34" s="121"/>
      <c r="M34" s="121"/>
      <c r="N34" s="121"/>
      <c r="O34" s="121"/>
      <c r="P34" s="121"/>
      <c r="Q34" s="121"/>
      <c r="R34" s="122"/>
      <c r="S34" s="122"/>
    </row>
    <row r="35" spans="1:19" ht="25.5">
      <c r="A35" s="11"/>
      <c r="B35" s="86"/>
      <c r="C35" s="61"/>
      <c r="D35" s="357" t="s">
        <v>92</v>
      </c>
      <c r="E35" s="18" t="s">
        <v>99</v>
      </c>
      <c r="F35" s="308"/>
      <c r="G35" s="21"/>
      <c r="H35" s="163" t="s">
        <v>39</v>
      </c>
      <c r="I35" s="62"/>
      <c r="J35" s="88"/>
      <c r="K35" s="13"/>
      <c r="L35" s="121"/>
      <c r="M35" s="121"/>
      <c r="N35" s="121"/>
      <c r="O35" s="121"/>
      <c r="P35" s="121"/>
      <c r="Q35" s="121"/>
      <c r="R35" s="122"/>
      <c r="S35" s="122"/>
    </row>
    <row r="36" spans="1:19" ht="5.25" customHeight="1">
      <c r="A36" s="11"/>
      <c r="B36" s="86"/>
      <c r="C36" s="61"/>
      <c r="D36" s="48"/>
      <c r="E36" s="49"/>
      <c r="F36" s="49"/>
      <c r="G36" s="49"/>
      <c r="H36" s="159"/>
      <c r="I36" s="62"/>
      <c r="J36" s="88"/>
      <c r="K36" s="13"/>
      <c r="L36" s="121"/>
      <c r="M36" s="121"/>
      <c r="N36" s="121"/>
      <c r="O36" s="121"/>
      <c r="P36" s="121"/>
      <c r="Q36" s="121"/>
      <c r="R36" s="122"/>
      <c r="S36" s="122"/>
    </row>
    <row r="37" spans="1:19" ht="5.25" customHeight="1">
      <c r="A37" s="11"/>
      <c r="B37" s="86"/>
      <c r="C37" s="61"/>
      <c r="D37" s="14"/>
      <c r="E37" s="18"/>
      <c r="F37" s="37"/>
      <c r="G37" s="36"/>
      <c r="H37" s="160"/>
      <c r="I37" s="62"/>
      <c r="J37" s="88"/>
      <c r="K37" s="13"/>
      <c r="L37" s="121"/>
      <c r="M37" s="121"/>
      <c r="N37" s="121"/>
      <c r="O37" s="121"/>
      <c r="P37" s="121"/>
      <c r="Q37" s="121"/>
      <c r="R37" s="122"/>
      <c r="S37" s="122"/>
    </row>
    <row r="38" spans="1:19" ht="9.75" customHeight="1">
      <c r="A38" s="11"/>
      <c r="B38" s="86"/>
      <c r="C38" s="61"/>
      <c r="D38" s="133" t="s">
        <v>89</v>
      </c>
      <c r="E38" s="110"/>
      <c r="F38" s="36"/>
      <c r="G38" s="36"/>
      <c r="H38" s="161"/>
      <c r="I38" s="64"/>
      <c r="J38" s="88"/>
      <c r="K38" s="13"/>
      <c r="L38" s="121"/>
      <c r="M38" s="121"/>
      <c r="N38" s="121"/>
      <c r="O38" s="121"/>
      <c r="P38" s="121"/>
      <c r="Q38" s="121"/>
      <c r="R38" s="122"/>
      <c r="S38" s="122"/>
    </row>
    <row r="39" spans="1:19" ht="5.25" customHeight="1">
      <c r="A39" s="11"/>
      <c r="B39" s="86"/>
      <c r="C39" s="61"/>
      <c r="D39" s="19"/>
      <c r="E39" s="110"/>
      <c r="F39" s="34"/>
      <c r="G39" s="36"/>
      <c r="H39" s="161"/>
      <c r="I39" s="64"/>
      <c r="J39" s="88"/>
      <c r="K39" s="13"/>
      <c r="L39" s="121"/>
      <c r="M39" s="121"/>
      <c r="N39" s="121"/>
      <c r="O39" s="121"/>
      <c r="P39" s="121"/>
      <c r="Q39" s="121"/>
      <c r="R39" s="122"/>
      <c r="S39" s="122"/>
    </row>
    <row r="40" spans="1:19" ht="5.25" customHeight="1">
      <c r="A40" s="11"/>
      <c r="B40" s="86"/>
      <c r="C40" s="61"/>
      <c r="D40" s="56"/>
      <c r="E40" s="112"/>
      <c r="F40" s="47"/>
      <c r="G40" s="47"/>
      <c r="H40" s="162"/>
      <c r="I40" s="62"/>
      <c r="J40" s="88"/>
      <c r="K40" s="13"/>
      <c r="L40" s="121"/>
      <c r="M40" s="121"/>
      <c r="N40" s="121"/>
      <c r="O40" s="121"/>
      <c r="P40" s="121"/>
      <c r="Q40" s="121"/>
      <c r="R40" s="122"/>
      <c r="S40" s="122"/>
    </row>
    <row r="41" spans="1:21" ht="14.25">
      <c r="A41" s="11"/>
      <c r="B41" s="86"/>
      <c r="C41" s="61"/>
      <c r="D41" s="98" t="s">
        <v>93</v>
      </c>
      <c r="E41" s="18" t="s">
        <v>99</v>
      </c>
      <c r="F41" s="309"/>
      <c r="G41" s="36"/>
      <c r="H41" s="158" t="s">
        <v>88</v>
      </c>
      <c r="I41" s="63"/>
      <c r="J41" s="89"/>
      <c r="K41" s="16"/>
      <c r="L41" s="123"/>
      <c r="M41" s="123"/>
      <c r="N41" s="123"/>
      <c r="O41" s="123"/>
      <c r="P41" s="123"/>
      <c r="Q41" s="123"/>
      <c r="R41" s="124"/>
      <c r="S41" s="124"/>
      <c r="T41" s="124"/>
      <c r="U41" s="124"/>
    </row>
    <row r="42" spans="1:21" ht="25.5">
      <c r="A42" s="11"/>
      <c r="B42" s="86"/>
      <c r="C42" s="61"/>
      <c r="D42" s="98"/>
      <c r="E42" s="18"/>
      <c r="F42" s="35"/>
      <c r="G42" s="36"/>
      <c r="H42" s="165" t="s">
        <v>111</v>
      </c>
      <c r="I42" s="65"/>
      <c r="J42" s="89"/>
      <c r="K42" s="16"/>
      <c r="L42" s="123"/>
      <c r="M42" s="123"/>
      <c r="N42" s="118"/>
      <c r="O42" s="123"/>
      <c r="P42" s="123"/>
      <c r="Q42" s="123"/>
      <c r="R42" s="124"/>
      <c r="S42" s="124"/>
      <c r="T42" s="124"/>
      <c r="U42" s="124"/>
    </row>
    <row r="43" spans="1:19" ht="12.75">
      <c r="A43" s="11"/>
      <c r="B43" s="86"/>
      <c r="C43" s="61"/>
      <c r="D43" s="98" t="s">
        <v>34</v>
      </c>
      <c r="E43" s="18" t="s">
        <v>99</v>
      </c>
      <c r="F43" s="40">
        <f>IF(F17="",IF(F23="",(F33*F35),F23),F17/F41)</f>
        <v>0</v>
      </c>
      <c r="G43" s="36" t="s">
        <v>0</v>
      </c>
      <c r="H43" s="163"/>
      <c r="I43" s="66"/>
      <c r="J43" s="88"/>
      <c r="K43" s="13"/>
      <c r="L43" s="121"/>
      <c r="M43" s="121"/>
      <c r="N43" s="121"/>
      <c r="O43" s="121"/>
      <c r="P43" s="121"/>
      <c r="Q43" s="121"/>
      <c r="R43" s="122"/>
      <c r="S43" s="122"/>
    </row>
    <row r="44" spans="1:19" ht="4.5" customHeight="1">
      <c r="A44" s="11"/>
      <c r="B44" s="86"/>
      <c r="C44" s="61"/>
      <c r="D44" s="98"/>
      <c r="E44" s="18"/>
      <c r="F44" s="41"/>
      <c r="G44" s="36"/>
      <c r="H44" s="163"/>
      <c r="I44" s="66"/>
      <c r="J44" s="88"/>
      <c r="K44" s="13"/>
      <c r="L44" s="121"/>
      <c r="M44" s="121"/>
      <c r="N44" s="121"/>
      <c r="O44" s="121"/>
      <c r="P44" s="121"/>
      <c r="Q44" s="121"/>
      <c r="R44" s="122"/>
      <c r="S44" s="122"/>
    </row>
    <row r="45" spans="1:17" ht="12.75">
      <c r="A45" s="11"/>
      <c r="B45" s="86"/>
      <c r="C45" s="61"/>
      <c r="D45" s="98" t="s">
        <v>1</v>
      </c>
      <c r="E45" s="18" t="s">
        <v>99</v>
      </c>
      <c r="F45" s="40">
        <f>F43*F41</f>
        <v>0</v>
      </c>
      <c r="G45" s="36" t="s">
        <v>0</v>
      </c>
      <c r="H45" s="166" t="s">
        <v>25</v>
      </c>
      <c r="I45" s="67"/>
      <c r="J45" s="87"/>
      <c r="K45" s="14"/>
      <c r="L45" s="118"/>
      <c r="M45" s="118"/>
      <c r="N45" s="118"/>
      <c r="O45" s="118"/>
      <c r="P45" s="118"/>
      <c r="Q45" s="118"/>
    </row>
    <row r="46" spans="1:19" ht="5.25" customHeight="1">
      <c r="A46" s="11"/>
      <c r="B46" s="86"/>
      <c r="C46" s="61"/>
      <c r="D46" s="48"/>
      <c r="E46" s="111"/>
      <c r="F46" s="49"/>
      <c r="G46" s="49"/>
      <c r="H46" s="50"/>
      <c r="I46" s="62"/>
      <c r="J46" s="88"/>
      <c r="K46" s="13"/>
      <c r="L46" s="121"/>
      <c r="M46" s="121"/>
      <c r="N46" s="121"/>
      <c r="O46" s="121"/>
      <c r="P46" s="121"/>
      <c r="Q46" s="121"/>
      <c r="R46" s="122"/>
      <c r="S46" s="122"/>
    </row>
    <row r="47" spans="1:17" ht="5.25" customHeight="1">
      <c r="A47" s="11"/>
      <c r="B47" s="86"/>
      <c r="C47" s="68"/>
      <c r="D47" s="69"/>
      <c r="E47" s="113"/>
      <c r="F47" s="69"/>
      <c r="G47" s="70"/>
      <c r="H47" s="69"/>
      <c r="I47" s="71"/>
      <c r="J47" s="87"/>
      <c r="K47" s="14"/>
      <c r="L47" s="118"/>
      <c r="N47" s="118"/>
      <c r="O47" s="118"/>
      <c r="P47" s="118"/>
      <c r="Q47" s="118"/>
    </row>
    <row r="48" spans="1:17" ht="8.25" customHeight="1">
      <c r="A48" s="11"/>
      <c r="B48" s="86"/>
      <c r="C48" s="58"/>
      <c r="D48" s="14"/>
      <c r="E48" s="18"/>
      <c r="F48" s="14"/>
      <c r="G48" s="21"/>
      <c r="H48" s="14"/>
      <c r="I48" s="14"/>
      <c r="J48" s="87"/>
      <c r="K48" s="14"/>
      <c r="L48" s="118"/>
      <c r="N48" s="118"/>
      <c r="O48" s="118"/>
      <c r="P48" s="118"/>
      <c r="Q48" s="118"/>
    </row>
    <row r="49" spans="1:17" s="147" customFormat="1" ht="16.5" customHeight="1">
      <c r="A49" s="136"/>
      <c r="B49" s="137"/>
      <c r="C49" s="138"/>
      <c r="D49" s="139" t="s">
        <v>91</v>
      </c>
      <c r="E49" s="140"/>
      <c r="F49" s="141"/>
      <c r="G49" s="141"/>
      <c r="H49" s="142"/>
      <c r="I49" s="143"/>
      <c r="J49" s="144"/>
      <c r="K49" s="145"/>
      <c r="L49" s="146"/>
      <c r="M49" s="146"/>
      <c r="N49" s="146"/>
      <c r="O49" s="146"/>
      <c r="P49" s="146"/>
      <c r="Q49" s="146"/>
    </row>
    <row r="50" spans="1:19" s="175" customFormat="1" ht="30.75" customHeight="1">
      <c r="A50" s="167"/>
      <c r="B50" s="168"/>
      <c r="C50" s="169"/>
      <c r="D50" s="417" t="s">
        <v>153</v>
      </c>
      <c r="E50" s="417"/>
      <c r="F50" s="417"/>
      <c r="G50" s="417"/>
      <c r="H50" s="417"/>
      <c r="I50" s="170"/>
      <c r="J50" s="171"/>
      <c r="K50" s="172"/>
      <c r="L50" s="173"/>
      <c r="M50" s="173"/>
      <c r="N50" s="173"/>
      <c r="O50" s="173"/>
      <c r="P50" s="173"/>
      <c r="Q50" s="173"/>
      <c r="R50" s="174"/>
      <c r="S50" s="174"/>
    </row>
    <row r="51" spans="1:17" ht="38.25">
      <c r="A51" s="11"/>
      <c r="B51" s="86"/>
      <c r="C51" s="61"/>
      <c r="D51" s="8" t="s">
        <v>47</v>
      </c>
      <c r="E51" s="116" t="s">
        <v>99</v>
      </c>
      <c r="F51" s="310"/>
      <c r="G51" s="397" t="s">
        <v>4</v>
      </c>
      <c r="H51" s="176" t="s">
        <v>97</v>
      </c>
      <c r="I51" s="63"/>
      <c r="J51" s="87"/>
      <c r="K51" s="14"/>
      <c r="L51" s="118"/>
      <c r="M51" s="118"/>
      <c r="N51" s="118"/>
      <c r="O51" s="118"/>
      <c r="P51" s="118"/>
      <c r="Q51" s="118"/>
    </row>
    <row r="52" spans="1:17" ht="5.25" customHeight="1">
      <c r="A52" s="11"/>
      <c r="B52" s="86"/>
      <c r="C52" s="61"/>
      <c r="D52" s="8"/>
      <c r="E52" s="18"/>
      <c r="F52" s="40"/>
      <c r="G52" s="36"/>
      <c r="H52" s="176"/>
      <c r="I52" s="63"/>
      <c r="J52" s="87"/>
      <c r="K52" s="14"/>
      <c r="L52" s="118"/>
      <c r="M52" s="118"/>
      <c r="N52" s="118"/>
      <c r="O52" s="118"/>
      <c r="P52" s="118"/>
      <c r="Q52" s="118"/>
    </row>
    <row r="53" spans="1:17" ht="25.5">
      <c r="A53" s="11"/>
      <c r="B53" s="86"/>
      <c r="C53" s="61"/>
      <c r="D53" s="8" t="s">
        <v>46</v>
      </c>
      <c r="E53" s="18" t="s">
        <v>99</v>
      </c>
      <c r="F53" s="310"/>
      <c r="G53" s="397" t="s">
        <v>4</v>
      </c>
      <c r="H53" s="176" t="s">
        <v>48</v>
      </c>
      <c r="I53" s="63"/>
      <c r="J53" s="87"/>
      <c r="K53" s="14"/>
      <c r="L53" s="118"/>
      <c r="M53" s="118"/>
      <c r="N53" s="118"/>
      <c r="O53" s="118"/>
      <c r="P53" s="118"/>
      <c r="Q53" s="118"/>
    </row>
    <row r="54" spans="1:17" ht="5.25" customHeight="1">
      <c r="A54" s="11"/>
      <c r="B54" s="86"/>
      <c r="C54" s="61"/>
      <c r="D54" s="8"/>
      <c r="E54" s="18"/>
      <c r="F54" s="40"/>
      <c r="G54" s="36"/>
      <c r="H54" s="176"/>
      <c r="I54" s="63"/>
      <c r="J54" s="87"/>
      <c r="K54" s="14"/>
      <c r="L54" s="118"/>
      <c r="M54" s="118"/>
      <c r="N54" s="118"/>
      <c r="O54" s="118"/>
      <c r="P54" s="118"/>
      <c r="Q54" s="118"/>
    </row>
    <row r="55" spans="1:17" ht="15" customHeight="1">
      <c r="A55" s="11"/>
      <c r="B55" s="86"/>
      <c r="C55" s="61"/>
      <c r="D55" s="8" t="s">
        <v>42</v>
      </c>
      <c r="E55" s="18" t="s">
        <v>99</v>
      </c>
      <c r="F55" s="310"/>
      <c r="G55" s="311" t="s">
        <v>4</v>
      </c>
      <c r="H55" s="335" t="s">
        <v>154</v>
      </c>
      <c r="I55" s="63"/>
      <c r="J55" s="87"/>
      <c r="K55" s="14"/>
      <c r="L55" s="118"/>
      <c r="M55" s="118"/>
      <c r="N55" s="118"/>
      <c r="O55" s="118"/>
      <c r="P55" s="118"/>
      <c r="Q55" s="118"/>
    </row>
    <row r="56" spans="1:17" ht="5.25" customHeight="1">
      <c r="A56" s="43"/>
      <c r="B56" s="90"/>
      <c r="C56" s="72"/>
      <c r="D56" s="8"/>
      <c r="E56" s="8"/>
      <c r="F56" s="40"/>
      <c r="G56" s="36"/>
      <c r="H56" s="177"/>
      <c r="I56" s="73"/>
      <c r="J56" s="91"/>
      <c r="K56" s="42"/>
      <c r="L56" s="118"/>
      <c r="M56" s="118"/>
      <c r="N56" s="118"/>
      <c r="O56" s="118"/>
      <c r="P56" s="118"/>
      <c r="Q56" s="118"/>
    </row>
    <row r="57" spans="1:17" ht="15.75" customHeight="1">
      <c r="A57" s="11"/>
      <c r="B57" s="86"/>
      <c r="C57" s="61"/>
      <c r="D57" s="8" t="s">
        <v>41</v>
      </c>
      <c r="E57" s="18" t="s">
        <v>99</v>
      </c>
      <c r="F57" s="310"/>
      <c r="G57" s="398" t="s">
        <v>68</v>
      </c>
      <c r="H57" s="335" t="s">
        <v>244</v>
      </c>
      <c r="I57" s="63"/>
      <c r="J57" s="87"/>
      <c r="K57" s="14"/>
      <c r="L57" s="118"/>
      <c r="M57" s="118"/>
      <c r="N57" s="118"/>
      <c r="O57" s="118"/>
      <c r="P57" s="118"/>
      <c r="Q57" s="118"/>
    </row>
    <row r="58" spans="1:17" ht="12.75">
      <c r="A58" s="11"/>
      <c r="B58" s="86"/>
      <c r="C58" s="61"/>
      <c r="D58" s="8"/>
      <c r="E58" s="8"/>
      <c r="F58" s="8"/>
      <c r="G58" s="8"/>
      <c r="H58" s="8"/>
      <c r="I58" s="63"/>
      <c r="J58" s="87"/>
      <c r="K58" s="14"/>
      <c r="L58" s="118"/>
      <c r="M58" s="118"/>
      <c r="N58" s="118"/>
      <c r="O58" s="118"/>
      <c r="P58" s="118"/>
      <c r="Q58" s="118"/>
    </row>
    <row r="59" spans="1:17" ht="12.75">
      <c r="A59" s="11"/>
      <c r="B59" s="86"/>
      <c r="C59" s="61"/>
      <c r="D59" s="367" t="s">
        <v>254</v>
      </c>
      <c r="E59" s="18" t="s">
        <v>99</v>
      </c>
      <c r="F59" s="394" t="s">
        <v>209</v>
      </c>
      <c r="G59" s="8"/>
      <c r="H59" s="335" t="s">
        <v>255</v>
      </c>
      <c r="I59" s="63"/>
      <c r="J59" s="87"/>
      <c r="K59" s="14"/>
      <c r="L59" s="118"/>
      <c r="M59" s="118"/>
      <c r="N59" s="118"/>
      <c r="O59" s="118"/>
      <c r="P59" s="118"/>
      <c r="Q59" s="118"/>
    </row>
    <row r="60" spans="1:17" ht="12.75">
      <c r="A60" s="11"/>
      <c r="B60" s="86"/>
      <c r="C60" s="61"/>
      <c r="D60" s="367"/>
      <c r="E60" s="18"/>
      <c r="F60" s="8"/>
      <c r="G60" s="8"/>
      <c r="H60" s="335"/>
      <c r="I60" s="63"/>
      <c r="J60" s="87"/>
      <c r="K60" s="14"/>
      <c r="L60" s="118"/>
      <c r="M60" s="118"/>
      <c r="N60" s="118"/>
      <c r="O60" s="118"/>
      <c r="P60" s="118"/>
      <c r="Q60" s="118"/>
    </row>
    <row r="61" spans="1:17" ht="12.75">
      <c r="A61" s="11"/>
      <c r="B61" s="86"/>
      <c r="C61" s="61"/>
      <c r="D61" s="366" t="s">
        <v>211</v>
      </c>
      <c r="E61" s="18" t="s">
        <v>99</v>
      </c>
      <c r="F61" s="399"/>
      <c r="G61" s="368" t="s">
        <v>215</v>
      </c>
      <c r="H61" s="335" t="str">
        <f>IF(F59="No","Enter the Pump Inlet Diameter","Leave this field blank")</f>
        <v>Leave this field blank</v>
      </c>
      <c r="I61" s="63"/>
      <c r="J61" s="87"/>
      <c r="K61" s="14"/>
      <c r="L61" s="118"/>
      <c r="M61" s="118"/>
      <c r="N61" s="118"/>
      <c r="O61" s="118"/>
      <c r="P61" s="118"/>
      <c r="Q61" s="118"/>
    </row>
    <row r="62" spans="1:17" ht="12.75">
      <c r="A62" s="11"/>
      <c r="B62" s="86"/>
      <c r="C62" s="61"/>
      <c r="D62" s="366"/>
      <c r="E62" s="18"/>
      <c r="F62" s="8"/>
      <c r="G62" s="8"/>
      <c r="H62" s="335"/>
      <c r="I62" s="63"/>
      <c r="J62" s="87"/>
      <c r="K62" s="14"/>
      <c r="L62" s="118"/>
      <c r="M62" s="118"/>
      <c r="N62" s="118"/>
      <c r="O62" s="118"/>
      <c r="P62" s="118"/>
      <c r="Q62" s="118"/>
    </row>
    <row r="63" spans="1:17" ht="12.75">
      <c r="A63" s="11"/>
      <c r="B63" s="86"/>
      <c r="C63" s="61"/>
      <c r="D63" s="366" t="s">
        <v>212</v>
      </c>
      <c r="E63" s="18" t="s">
        <v>99</v>
      </c>
      <c r="F63" s="399"/>
      <c r="G63" s="368" t="s">
        <v>215</v>
      </c>
      <c r="H63" s="335" t="str">
        <f>IF(F59="No","Enter the Pump Inlet Diameter","Leave this field blank")</f>
        <v>Leave this field blank</v>
      </c>
      <c r="I63" s="63"/>
      <c r="J63" s="87"/>
      <c r="K63" s="14"/>
      <c r="L63" s="118"/>
      <c r="M63" s="118"/>
      <c r="N63" s="118"/>
      <c r="O63" s="118"/>
      <c r="P63" s="118"/>
      <c r="Q63" s="118"/>
    </row>
    <row r="64" spans="1:17" ht="12.75">
      <c r="A64" s="11"/>
      <c r="B64" s="86"/>
      <c r="C64" s="61"/>
      <c r="D64" s="366"/>
      <c r="E64" s="18"/>
      <c r="F64" s="8"/>
      <c r="G64" s="368"/>
      <c r="H64" s="335"/>
      <c r="I64" s="63"/>
      <c r="J64" s="87"/>
      <c r="K64" s="14"/>
      <c r="L64" s="118"/>
      <c r="M64" s="118"/>
      <c r="N64" s="118"/>
      <c r="O64" s="118"/>
      <c r="P64" s="118"/>
      <c r="Q64" s="118"/>
    </row>
    <row r="65" spans="1:17" ht="25.5">
      <c r="A65" s="11"/>
      <c r="B65" s="86"/>
      <c r="C65" s="61"/>
      <c r="D65" s="366" t="s">
        <v>223</v>
      </c>
      <c r="E65" s="18" t="s">
        <v>99</v>
      </c>
      <c r="F65" s="400">
        <f>IF(G55="m of head",F51+F55+'Fixed Data'!C33,IF(G55="bar",F51+F55*'Fixed Data'!I4+'Fixed Data'!C33,IF(G55="psi",F51+F55*'Fixed Data'!I7+'Fixed Data'!C33,"")))</f>
        <v>0</v>
      </c>
      <c r="G65" s="397" t="s">
        <v>4</v>
      </c>
      <c r="H65" s="335" t="s">
        <v>253</v>
      </c>
      <c r="I65" s="63"/>
      <c r="J65" s="87"/>
      <c r="K65" s="14"/>
      <c r="L65" s="118"/>
      <c r="M65" s="118"/>
      <c r="N65" s="118"/>
      <c r="O65" s="118"/>
      <c r="P65" s="118"/>
      <c r="Q65" s="118"/>
    </row>
    <row r="66" spans="1:17" ht="12.75">
      <c r="A66" s="11"/>
      <c r="B66" s="86"/>
      <c r="C66" s="61"/>
      <c r="D66" s="8"/>
      <c r="E66" s="18"/>
      <c r="F66" s="8"/>
      <c r="G66" s="8"/>
      <c r="H66" s="335"/>
      <c r="I66" s="63"/>
      <c r="J66" s="87"/>
      <c r="K66" s="14"/>
      <c r="L66" s="118"/>
      <c r="M66" s="118"/>
      <c r="N66" s="118"/>
      <c r="O66" s="118"/>
      <c r="P66" s="118"/>
      <c r="Q66" s="118"/>
    </row>
    <row r="67" spans="1:17" ht="15">
      <c r="A67" s="11"/>
      <c r="B67" s="86"/>
      <c r="C67" s="61"/>
      <c r="D67" s="8" t="s">
        <v>45</v>
      </c>
      <c r="E67" s="18" t="s">
        <v>99</v>
      </c>
      <c r="F67" s="355">
        <f>IF(AND(Inputs!G55="m of head",Inputs!G57="m3/h"),'Fixed Data'!$C$25,IF(AND(Inputs!G55="m of head",Inputs!G57="g/h"),'Fixed Data'!$C$29,IF(AND(Inputs!G55="bar",Inputs!G57="m3/h"),'Fixed Data'!$C$26,IF(AND(Inputs!G55="bar",Inputs!G57="g/h"),'Fixed Data'!C30,IF(AND(Inputs!G55="psi",Inputs!G57="m3/h"),'Fixed Data'!C27,IF(AND(Inputs!G55="psi",Inputs!G57="g/h"),'Fixed Data'!$C$31))))))</f>
        <v>0</v>
      </c>
      <c r="G67" s="36" t="s">
        <v>0</v>
      </c>
      <c r="H67" s="365" t="s">
        <v>208</v>
      </c>
      <c r="I67" s="63"/>
      <c r="J67" s="87"/>
      <c r="K67" s="14"/>
      <c r="L67" s="118"/>
      <c r="M67" s="118"/>
      <c r="N67" s="118"/>
      <c r="O67" s="118"/>
      <c r="P67" s="118"/>
      <c r="Q67" s="118"/>
    </row>
    <row r="68" spans="1:17" ht="12.75">
      <c r="A68" s="11"/>
      <c r="B68" s="86"/>
      <c r="C68" s="61"/>
      <c r="D68" s="8"/>
      <c r="E68" s="18"/>
      <c r="F68" s="40"/>
      <c r="G68" s="36"/>
      <c r="H68" s="178"/>
      <c r="I68" s="63"/>
      <c r="J68" s="87"/>
      <c r="K68" s="14"/>
      <c r="L68" s="118"/>
      <c r="M68" s="118"/>
      <c r="N68" s="118"/>
      <c r="O68" s="118"/>
      <c r="P68" s="118"/>
      <c r="Q68" s="118"/>
    </row>
    <row r="69" spans="1:17" ht="14.25">
      <c r="A69" s="11"/>
      <c r="B69" s="86"/>
      <c r="C69" s="61"/>
      <c r="D69" s="8" t="s">
        <v>84</v>
      </c>
      <c r="E69" s="18" t="s">
        <v>99</v>
      </c>
      <c r="F69" s="395" t="str">
        <f>IF(Inputs!$F$45=0,"-",$F$67/Inputs!$F$45)</f>
        <v>-</v>
      </c>
      <c r="G69" s="38"/>
      <c r="H69" s="176"/>
      <c r="I69" s="63"/>
      <c r="J69" s="87"/>
      <c r="K69" s="14"/>
      <c r="L69" s="118"/>
      <c r="M69" s="118"/>
      <c r="N69" s="118"/>
      <c r="O69" s="118"/>
      <c r="P69" s="118"/>
      <c r="Q69" s="118"/>
    </row>
    <row r="70" spans="1:17" ht="12.75">
      <c r="A70" s="11"/>
      <c r="B70" s="86"/>
      <c r="C70" s="61"/>
      <c r="D70" s="8"/>
      <c r="E70" s="18"/>
      <c r="F70" s="356"/>
      <c r="G70" s="38"/>
      <c r="H70" s="176"/>
      <c r="I70" s="67"/>
      <c r="J70" s="87"/>
      <c r="K70" s="14"/>
      <c r="M70" s="118"/>
      <c r="N70" s="118"/>
      <c r="O70" s="118"/>
      <c r="P70" s="118"/>
      <c r="Q70" s="118"/>
    </row>
    <row r="71" spans="1:17" ht="12.75">
      <c r="A71" s="11"/>
      <c r="B71" s="86"/>
      <c r="C71" s="61"/>
      <c r="D71" s="369" t="s">
        <v>222</v>
      </c>
      <c r="E71" s="33" t="s">
        <v>99</v>
      </c>
      <c r="F71" s="41">
        <f>IF(Inputs!G55="m of head",'Fixed Data'!C39-(Inputs!F53),IF(Inputs!G55="Bar",'Fixed Data'!C40-(Inputs!F53),IF(Inputs!G55="psi",'Fixed Data'!C41-(Inputs!F53))))</f>
        <v>0</v>
      </c>
      <c r="G71" s="36" t="s">
        <v>4</v>
      </c>
      <c r="H71" s="374" t="s">
        <v>235</v>
      </c>
      <c r="I71" s="67"/>
      <c r="J71" s="87"/>
      <c r="K71" s="14"/>
      <c r="M71" s="118"/>
      <c r="N71" s="118"/>
      <c r="O71" s="118"/>
      <c r="P71" s="118"/>
      <c r="Q71" s="118"/>
    </row>
    <row r="72" spans="1:17" ht="12.75">
      <c r="A72" s="11"/>
      <c r="B72" s="86"/>
      <c r="C72" s="68"/>
      <c r="D72" s="74"/>
      <c r="E72" s="114"/>
      <c r="F72" s="75"/>
      <c r="G72" s="76"/>
      <c r="H72" s="77"/>
      <c r="I72" s="78"/>
      <c r="J72" s="87"/>
      <c r="K72" s="14"/>
      <c r="L72" s="118"/>
      <c r="M72" s="118"/>
      <c r="N72" s="118"/>
      <c r="O72" s="118"/>
      <c r="P72" s="118"/>
      <c r="Q72" s="118"/>
    </row>
    <row r="73" spans="1:17" ht="5.25" customHeight="1">
      <c r="A73" s="11"/>
      <c r="B73" s="86"/>
      <c r="C73" s="58"/>
      <c r="D73" s="39"/>
      <c r="E73" s="33"/>
      <c r="F73" s="41"/>
      <c r="G73" s="36"/>
      <c r="H73" s="16"/>
      <c r="I73" s="16"/>
      <c r="J73" s="87"/>
      <c r="K73" s="14"/>
      <c r="L73" s="118"/>
      <c r="M73" s="118"/>
      <c r="N73" s="118"/>
      <c r="O73" s="118"/>
      <c r="P73" s="118"/>
      <c r="Q73" s="118"/>
    </row>
    <row r="74" spans="1:17" ht="12.75">
      <c r="A74" s="11"/>
      <c r="B74" s="86"/>
      <c r="C74" s="59"/>
      <c r="D74" s="383"/>
      <c r="E74" s="384"/>
      <c r="F74" s="385"/>
      <c r="G74" s="386"/>
      <c r="H74" s="387"/>
      <c r="I74" s="388"/>
      <c r="J74" s="87"/>
      <c r="K74" s="14"/>
      <c r="L74" s="118"/>
      <c r="M74" s="118"/>
      <c r="N74" s="118"/>
      <c r="O74" s="118"/>
      <c r="P74" s="118"/>
      <c r="Q74" s="118"/>
    </row>
    <row r="75" spans="1:17" ht="5.25" customHeight="1">
      <c r="A75" s="11"/>
      <c r="B75" s="86"/>
      <c r="C75" s="61"/>
      <c r="D75" s="39"/>
      <c r="E75" s="33"/>
      <c r="F75" s="41"/>
      <c r="G75" s="36"/>
      <c r="H75" s="16"/>
      <c r="I75" s="63"/>
      <c r="J75" s="87"/>
      <c r="K75" s="14"/>
      <c r="L75" s="118"/>
      <c r="M75" s="118"/>
      <c r="N75" s="118"/>
      <c r="O75" s="118"/>
      <c r="P75" s="118"/>
      <c r="Q75" s="118"/>
    </row>
    <row r="76" spans="1:17" ht="5.25" customHeight="1">
      <c r="A76" s="11"/>
      <c r="B76" s="86"/>
      <c r="C76" s="61"/>
      <c r="D76" s="39"/>
      <c r="E76" s="33"/>
      <c r="F76" s="41"/>
      <c r="G76" s="36"/>
      <c r="H76" s="16"/>
      <c r="I76" s="63"/>
      <c r="J76" s="87"/>
      <c r="K76" s="14"/>
      <c r="L76" s="118"/>
      <c r="M76" s="118"/>
      <c r="N76" s="118"/>
      <c r="O76" s="118"/>
      <c r="P76" s="118"/>
      <c r="Q76" s="118"/>
    </row>
    <row r="77" spans="1:17" ht="14.25" customHeight="1">
      <c r="A77" s="11"/>
      <c r="B77" s="86"/>
      <c r="C77" s="61"/>
      <c r="D77" s="39"/>
      <c r="E77" s="33"/>
      <c r="F77" s="41"/>
      <c r="G77" s="36"/>
      <c r="H77" s="16"/>
      <c r="I77" s="63"/>
      <c r="J77" s="87"/>
      <c r="K77" s="14"/>
      <c r="L77" s="118"/>
      <c r="M77" s="118"/>
      <c r="N77" s="118"/>
      <c r="O77" s="118"/>
      <c r="P77" s="118"/>
      <c r="Q77" s="118"/>
    </row>
    <row r="78" spans="1:17" ht="5.25" customHeight="1">
      <c r="A78" s="11"/>
      <c r="B78" s="86"/>
      <c r="C78" s="61"/>
      <c r="D78" s="39"/>
      <c r="E78" s="33"/>
      <c r="F78" s="41"/>
      <c r="G78" s="36"/>
      <c r="H78" s="16"/>
      <c r="I78" s="63"/>
      <c r="J78" s="87"/>
      <c r="K78" s="14"/>
      <c r="L78" s="118"/>
      <c r="M78" s="118"/>
      <c r="N78" s="118"/>
      <c r="O78" s="118"/>
      <c r="P78" s="118"/>
      <c r="Q78" s="118"/>
    </row>
    <row r="79" spans="1:17" ht="14.25" customHeight="1">
      <c r="A79" s="11"/>
      <c r="B79" s="86"/>
      <c r="C79" s="61"/>
      <c r="D79" s="39"/>
      <c r="E79" s="33"/>
      <c r="F79" s="41"/>
      <c r="G79" s="36"/>
      <c r="H79" s="16"/>
      <c r="I79" s="63"/>
      <c r="J79" s="87"/>
      <c r="K79" s="14"/>
      <c r="L79" s="118"/>
      <c r="M79" s="118"/>
      <c r="N79" s="118"/>
      <c r="O79" s="118"/>
      <c r="P79" s="118"/>
      <c r="Q79" s="118"/>
    </row>
    <row r="80" spans="1:17" ht="14.25" customHeight="1">
      <c r="A80" s="11"/>
      <c r="B80" s="86"/>
      <c r="C80" s="61"/>
      <c r="D80" s="39"/>
      <c r="E80" s="33"/>
      <c r="F80" s="41"/>
      <c r="G80" s="36"/>
      <c r="H80" s="16"/>
      <c r="I80" s="63"/>
      <c r="J80" s="87"/>
      <c r="K80" s="14"/>
      <c r="L80" s="118"/>
      <c r="M80" s="118"/>
      <c r="N80" s="118"/>
      <c r="O80" s="118"/>
      <c r="P80" s="118"/>
      <c r="Q80" s="118"/>
    </row>
    <row r="81" spans="1:17" ht="14.25" customHeight="1">
      <c r="A81" s="11"/>
      <c r="B81" s="86"/>
      <c r="C81" s="61"/>
      <c r="D81" s="39"/>
      <c r="E81" s="33"/>
      <c r="F81" s="41"/>
      <c r="G81" s="36"/>
      <c r="H81" s="16"/>
      <c r="I81" s="63"/>
      <c r="J81" s="87"/>
      <c r="K81" s="14"/>
      <c r="L81" s="118"/>
      <c r="M81" s="118"/>
      <c r="N81" s="118"/>
      <c r="O81" s="118"/>
      <c r="P81" s="118"/>
      <c r="Q81" s="118"/>
    </row>
    <row r="82" spans="1:17" ht="14.25" customHeight="1">
      <c r="A82" s="11"/>
      <c r="B82" s="86"/>
      <c r="C82" s="61"/>
      <c r="D82" s="39"/>
      <c r="E82" s="33"/>
      <c r="F82" s="41"/>
      <c r="G82" s="36"/>
      <c r="H82" s="16"/>
      <c r="I82" s="63"/>
      <c r="J82" s="87"/>
      <c r="K82" s="14"/>
      <c r="L82" s="118"/>
      <c r="M82" s="118"/>
      <c r="O82" s="118"/>
      <c r="P82" s="118"/>
      <c r="Q82" s="118"/>
    </row>
    <row r="83" spans="1:17" ht="13.5" customHeight="1">
      <c r="A83" s="11"/>
      <c r="B83" s="86"/>
      <c r="C83" s="61"/>
      <c r="D83" s="39"/>
      <c r="E83" s="33"/>
      <c r="F83" s="41"/>
      <c r="G83" s="376">
        <f>Inputs!F53</f>
        <v>0</v>
      </c>
      <c r="H83" s="16"/>
      <c r="I83" s="63"/>
      <c r="J83" s="87"/>
      <c r="K83" s="14"/>
      <c r="L83" s="118"/>
      <c r="M83" s="118"/>
      <c r="N83" s="118"/>
      <c r="O83" s="118"/>
      <c r="P83" s="118"/>
      <c r="Q83" s="118"/>
    </row>
    <row r="84" spans="1:17" ht="14.25" customHeight="1">
      <c r="A84" s="11"/>
      <c r="B84" s="86"/>
      <c r="C84" s="61"/>
      <c r="D84" s="39"/>
      <c r="E84" s="33"/>
      <c r="F84" s="41"/>
      <c r="G84" s="36"/>
      <c r="H84" s="411" t="str">
        <f>IF(ISNUMBER(FIND(" ",Inputs!G55,1)),Inputs!F55&amp;" "&amp;LEFT(Inputs!G55,FIND(" ",Inputs!G55,1)-1),Inputs!F55&amp;" "&amp;LEFT(Inputs!G55,3))</f>
        <v> m</v>
      </c>
      <c r="I84" s="63"/>
      <c r="J84" s="87"/>
      <c r="K84" s="14"/>
      <c r="L84" s="118"/>
      <c r="M84" s="118"/>
      <c r="N84" s="118"/>
      <c r="O84" s="118"/>
      <c r="P84" s="118"/>
      <c r="Q84" s="118"/>
    </row>
    <row r="85" spans="1:17" ht="13.5" customHeight="1">
      <c r="A85" s="11"/>
      <c r="B85" s="86"/>
      <c r="C85" s="61"/>
      <c r="D85" s="39"/>
      <c r="E85" s="33"/>
      <c r="F85" s="41"/>
      <c r="G85" s="36"/>
      <c r="H85" s="16"/>
      <c r="I85" s="63"/>
      <c r="J85" s="87"/>
      <c r="K85" s="14"/>
      <c r="L85" s="118"/>
      <c r="M85" s="118"/>
      <c r="N85" s="118"/>
      <c r="O85" s="118"/>
      <c r="P85" s="118"/>
      <c r="Q85" s="118"/>
    </row>
    <row r="86" spans="1:17" ht="14.25" customHeight="1">
      <c r="A86" s="11"/>
      <c r="B86" s="86"/>
      <c r="C86" s="61"/>
      <c r="D86" s="39"/>
      <c r="E86" s="33"/>
      <c r="F86" s="41"/>
      <c r="G86" s="36"/>
      <c r="H86" s="16"/>
      <c r="I86" s="63"/>
      <c r="J86" s="87"/>
      <c r="K86" s="14"/>
      <c r="L86" s="118"/>
      <c r="M86" s="118"/>
      <c r="N86" s="118"/>
      <c r="O86" s="118"/>
      <c r="P86" s="118"/>
      <c r="Q86" s="118"/>
    </row>
    <row r="87" spans="1:17" ht="14.25" customHeight="1">
      <c r="A87" s="11"/>
      <c r="B87" s="86"/>
      <c r="C87" s="61"/>
      <c r="D87" s="39"/>
      <c r="E87" s="33"/>
      <c r="F87" s="41"/>
      <c r="G87" s="36"/>
      <c r="H87" s="410" t="str">
        <f>IF(ISNUMBER(FIND(" ",Inputs!G57,1)),Inputs!F57&amp;" "&amp;LEFT(Inputs!G57,FIND(" ",Inputs!G57,1)-1),Inputs!F57&amp;" "&amp;LEFT(Inputs!G57,4))</f>
        <v> m3/h</v>
      </c>
      <c r="I87" s="63"/>
      <c r="J87" s="87"/>
      <c r="K87" s="14"/>
      <c r="L87" s="118"/>
      <c r="M87" s="118"/>
      <c r="N87" s="118"/>
      <c r="O87" s="118"/>
      <c r="P87" s="118"/>
      <c r="Q87" s="118"/>
    </row>
    <row r="88" spans="1:17" ht="19.5" customHeight="1">
      <c r="A88" s="11"/>
      <c r="B88" s="86"/>
      <c r="C88" s="61"/>
      <c r="D88" s="393">
        <f>Inputs!F51+Inputs!F53</f>
        <v>0</v>
      </c>
      <c r="E88" s="33"/>
      <c r="F88" s="41"/>
      <c r="G88" s="36"/>
      <c r="H88" s="16"/>
      <c r="I88" s="63"/>
      <c r="J88" s="87"/>
      <c r="K88" s="14"/>
      <c r="L88" s="118"/>
      <c r="M88" s="118"/>
      <c r="N88" s="118"/>
      <c r="O88" s="118"/>
      <c r="P88" s="118"/>
      <c r="Q88" s="118"/>
    </row>
    <row r="89" spans="1:17" ht="14.25" customHeight="1">
      <c r="A89" s="11"/>
      <c r="B89" s="86"/>
      <c r="C89" s="61"/>
      <c r="D89" s="41"/>
      <c r="E89" s="33"/>
      <c r="F89" s="41"/>
      <c r="G89" s="36"/>
      <c r="H89" s="16"/>
      <c r="I89" s="63"/>
      <c r="J89" s="87"/>
      <c r="K89" s="14"/>
      <c r="L89" s="118"/>
      <c r="M89" s="118"/>
      <c r="N89" s="118"/>
      <c r="O89" s="118"/>
      <c r="P89" s="118"/>
      <c r="Q89" s="118"/>
    </row>
    <row r="90" spans="1:17" ht="12.75" customHeight="1">
      <c r="A90" s="11"/>
      <c r="B90" s="86"/>
      <c r="C90" s="61"/>
      <c r="D90" s="39"/>
      <c r="E90" s="33"/>
      <c r="F90" s="41"/>
      <c r="G90" s="36"/>
      <c r="H90" s="16"/>
      <c r="I90" s="63"/>
      <c r="J90" s="87"/>
      <c r="K90" s="14"/>
      <c r="L90" s="118"/>
      <c r="M90" s="118"/>
      <c r="N90" s="118"/>
      <c r="O90" s="118"/>
      <c r="P90" s="118"/>
      <c r="Q90" s="118"/>
    </row>
    <row r="91" spans="1:17" ht="15" customHeight="1">
      <c r="A91" s="11"/>
      <c r="B91" s="86"/>
      <c r="C91" s="61"/>
      <c r="D91" s="39"/>
      <c r="E91" s="33"/>
      <c r="F91" s="41"/>
      <c r="G91" s="36"/>
      <c r="H91" s="16"/>
      <c r="I91" s="63"/>
      <c r="J91" s="87"/>
      <c r="K91" s="14"/>
      <c r="L91" s="118"/>
      <c r="M91" s="118"/>
      <c r="N91" s="118"/>
      <c r="O91" s="118"/>
      <c r="P91" s="118"/>
      <c r="Q91" s="118"/>
    </row>
    <row r="92" spans="1:17" ht="14.25" customHeight="1">
      <c r="A92" s="11"/>
      <c r="B92" s="86"/>
      <c r="C92" s="61"/>
      <c r="D92" s="39"/>
      <c r="E92" s="33"/>
      <c r="F92" s="41"/>
      <c r="G92" s="36"/>
      <c r="H92" s="16"/>
      <c r="I92" s="63"/>
      <c r="J92" s="87"/>
      <c r="K92" s="14"/>
      <c r="L92" s="118"/>
      <c r="M92" s="118"/>
      <c r="N92" s="118"/>
      <c r="O92" s="118"/>
      <c r="P92" s="118"/>
      <c r="Q92" s="118"/>
    </row>
    <row r="93" spans="1:17" ht="14.25" customHeight="1">
      <c r="A93" s="11"/>
      <c r="B93" s="86"/>
      <c r="C93" s="61"/>
      <c r="D93" s="39"/>
      <c r="E93" s="33"/>
      <c r="F93" s="41"/>
      <c r="G93" s="36"/>
      <c r="H93" s="16"/>
      <c r="I93" s="63"/>
      <c r="J93" s="87"/>
      <c r="K93" s="14"/>
      <c r="L93" s="118"/>
      <c r="M93" s="118"/>
      <c r="N93" s="118"/>
      <c r="O93" s="118"/>
      <c r="P93" s="118"/>
      <c r="Q93" s="118"/>
    </row>
    <row r="94" spans="1:17" ht="12.75" customHeight="1">
      <c r="A94" s="11"/>
      <c r="B94" s="86"/>
      <c r="C94" s="61"/>
      <c r="D94" s="39"/>
      <c r="E94" s="33"/>
      <c r="F94" s="41"/>
      <c r="G94" s="36"/>
      <c r="H94" s="16"/>
      <c r="I94" s="63"/>
      <c r="J94" s="87"/>
      <c r="K94" s="14"/>
      <c r="L94" s="118"/>
      <c r="M94" s="118"/>
      <c r="N94" s="118"/>
      <c r="O94" s="118"/>
      <c r="P94" s="118"/>
      <c r="Q94" s="118"/>
    </row>
    <row r="95" spans="1:17" ht="14.25" customHeight="1">
      <c r="A95" s="11"/>
      <c r="B95" s="86"/>
      <c r="C95" s="61"/>
      <c r="D95" s="39"/>
      <c r="E95" s="33"/>
      <c r="F95" s="41"/>
      <c r="G95" s="36"/>
      <c r="H95" s="16"/>
      <c r="I95" s="63"/>
      <c r="J95" s="87"/>
      <c r="K95" s="14"/>
      <c r="L95" s="118"/>
      <c r="M95" s="118"/>
      <c r="N95" s="118"/>
      <c r="O95" s="118"/>
      <c r="P95" s="118"/>
      <c r="Q95" s="118"/>
    </row>
    <row r="96" spans="1:17" ht="11.25" customHeight="1">
      <c r="A96" s="11"/>
      <c r="B96" s="86"/>
      <c r="C96" s="61"/>
      <c r="D96" s="39"/>
      <c r="E96" s="33"/>
      <c r="F96" s="41"/>
      <c r="G96" s="377">
        <f>Inputs!F51</f>
        <v>0</v>
      </c>
      <c r="H96" s="16"/>
      <c r="I96" s="63"/>
      <c r="J96" s="87"/>
      <c r="K96" s="14"/>
      <c r="L96" s="118"/>
      <c r="M96" s="118"/>
      <c r="N96" s="118"/>
      <c r="O96" s="118"/>
      <c r="P96" s="118"/>
      <c r="Q96" s="118"/>
    </row>
    <row r="97" spans="1:17" ht="3" customHeight="1">
      <c r="A97" s="11"/>
      <c r="B97" s="86"/>
      <c r="C97" s="61"/>
      <c r="D97" s="39"/>
      <c r="E97" s="33"/>
      <c r="F97" s="41"/>
      <c r="G97" s="36"/>
      <c r="H97" s="16"/>
      <c r="I97" s="63"/>
      <c r="J97" s="87"/>
      <c r="K97" s="14"/>
      <c r="L97" s="118"/>
      <c r="M97" s="118"/>
      <c r="N97" s="118"/>
      <c r="O97" s="118"/>
      <c r="P97" s="118"/>
      <c r="Q97" s="118"/>
    </row>
    <row r="98" spans="1:17" ht="15" customHeight="1">
      <c r="A98" s="11"/>
      <c r="B98" s="86"/>
      <c r="C98" s="61"/>
      <c r="D98" s="39"/>
      <c r="E98" s="33"/>
      <c r="F98" s="41"/>
      <c r="G98" s="36"/>
      <c r="H98" s="16"/>
      <c r="I98" s="63"/>
      <c r="J98" s="87"/>
      <c r="K98" s="14"/>
      <c r="L98" s="118"/>
      <c r="M98" s="118"/>
      <c r="N98" s="118"/>
      <c r="O98" s="118"/>
      <c r="P98" s="118"/>
      <c r="Q98" s="118"/>
    </row>
    <row r="99" spans="1:17" ht="14.25" customHeight="1">
      <c r="A99" s="11"/>
      <c r="B99" s="86"/>
      <c r="C99" s="61"/>
      <c r="D99" s="39"/>
      <c r="E99" s="33"/>
      <c r="F99" s="41"/>
      <c r="G99" s="36"/>
      <c r="H99" s="16"/>
      <c r="I99" s="63"/>
      <c r="J99" s="87"/>
      <c r="K99" s="14"/>
      <c r="L99" s="118"/>
      <c r="M99" s="118"/>
      <c r="N99" s="118"/>
      <c r="O99" s="118"/>
      <c r="P99" s="118"/>
      <c r="Q99" s="118"/>
    </row>
    <row r="100" spans="1:17" ht="14.25" customHeight="1">
      <c r="A100" s="11"/>
      <c r="B100" s="86"/>
      <c r="C100" s="61"/>
      <c r="D100" s="39"/>
      <c r="E100" s="33"/>
      <c r="F100" s="41"/>
      <c r="G100" s="36"/>
      <c r="H100" s="16"/>
      <c r="I100" s="63"/>
      <c r="J100" s="87"/>
      <c r="K100" s="14"/>
      <c r="L100" s="118"/>
      <c r="M100" s="118"/>
      <c r="N100" s="118"/>
      <c r="O100" s="118"/>
      <c r="P100" s="118"/>
      <c r="Q100" s="118"/>
    </row>
    <row r="101" spans="1:17" ht="14.25" customHeight="1">
      <c r="A101" s="11"/>
      <c r="B101" s="86"/>
      <c r="C101" s="61"/>
      <c r="D101" s="39"/>
      <c r="E101" s="33"/>
      <c r="F101" s="41"/>
      <c r="G101" s="36"/>
      <c r="H101" s="16"/>
      <c r="I101" s="63"/>
      <c r="J101" s="87"/>
      <c r="K101" s="14"/>
      <c r="L101" s="118"/>
      <c r="M101" s="375"/>
      <c r="N101" s="118"/>
      <c r="O101" s="118"/>
      <c r="P101" s="118"/>
      <c r="Q101" s="118"/>
    </row>
    <row r="102" spans="1:17" ht="14.25" customHeight="1">
      <c r="A102" s="11"/>
      <c r="B102" s="86"/>
      <c r="C102" s="61"/>
      <c r="D102" s="39"/>
      <c r="E102" s="33"/>
      <c r="F102" s="41"/>
      <c r="G102" s="36"/>
      <c r="H102" s="16"/>
      <c r="I102" s="63"/>
      <c r="J102" s="87"/>
      <c r="K102" s="14"/>
      <c r="L102" s="118"/>
      <c r="M102" s="118"/>
      <c r="N102" s="118"/>
      <c r="O102" s="118"/>
      <c r="P102" s="118"/>
      <c r="Q102" s="118"/>
    </row>
    <row r="103" spans="1:17" ht="14.25" customHeight="1">
      <c r="A103" s="11"/>
      <c r="B103" s="86"/>
      <c r="C103" s="61"/>
      <c r="D103" s="39"/>
      <c r="E103" s="33"/>
      <c r="F103" s="41"/>
      <c r="G103" s="36"/>
      <c r="H103" s="16"/>
      <c r="I103" s="63"/>
      <c r="J103" s="87"/>
      <c r="K103" s="14"/>
      <c r="L103" s="118"/>
      <c r="M103" s="118"/>
      <c r="N103" s="118"/>
      <c r="O103" s="118"/>
      <c r="P103" s="118"/>
      <c r="Q103" s="118"/>
    </row>
    <row r="104" spans="1:17" ht="14.25" customHeight="1">
      <c r="A104" s="11"/>
      <c r="B104" s="86"/>
      <c r="C104" s="61"/>
      <c r="D104" s="39"/>
      <c r="E104" s="33"/>
      <c r="F104" s="41"/>
      <c r="G104" s="36"/>
      <c r="H104" s="16"/>
      <c r="I104" s="63"/>
      <c r="J104" s="87"/>
      <c r="K104" s="14"/>
      <c r="L104" s="118"/>
      <c r="M104" s="118"/>
      <c r="N104" s="118"/>
      <c r="O104" s="118"/>
      <c r="P104" s="118"/>
      <c r="Q104" s="118"/>
    </row>
    <row r="105" spans="1:17" ht="14.25" customHeight="1">
      <c r="A105" s="11"/>
      <c r="B105" s="86"/>
      <c r="C105" s="61"/>
      <c r="D105" s="39"/>
      <c r="E105" s="33"/>
      <c r="F105" s="41"/>
      <c r="G105" s="36"/>
      <c r="H105" s="16"/>
      <c r="I105" s="63"/>
      <c r="J105" s="87"/>
      <c r="K105" s="14"/>
      <c r="L105" s="118"/>
      <c r="M105" s="118"/>
      <c r="N105" s="118"/>
      <c r="O105" s="118"/>
      <c r="P105" s="118"/>
      <c r="Q105" s="118"/>
    </row>
    <row r="106" spans="1:17" ht="14.25" customHeight="1">
      <c r="A106" s="11"/>
      <c r="B106" s="86"/>
      <c r="C106" s="61"/>
      <c r="D106" s="39"/>
      <c r="E106" s="33"/>
      <c r="F106" s="41"/>
      <c r="G106" s="36"/>
      <c r="H106" s="16"/>
      <c r="I106" s="63"/>
      <c r="J106" s="87"/>
      <c r="K106" s="14"/>
      <c r="L106" s="118"/>
      <c r="M106" s="118"/>
      <c r="N106" s="118"/>
      <c r="O106" s="118"/>
      <c r="P106" s="118"/>
      <c r="Q106" s="118"/>
    </row>
    <row r="107" spans="1:17" ht="14.25" customHeight="1">
      <c r="A107" s="11"/>
      <c r="B107" s="86"/>
      <c r="C107" s="61"/>
      <c r="D107" s="39"/>
      <c r="E107" s="33"/>
      <c r="F107" s="41"/>
      <c r="G107" s="36"/>
      <c r="H107" s="16"/>
      <c r="I107" s="63"/>
      <c r="J107" s="87"/>
      <c r="K107" s="14"/>
      <c r="L107" s="118"/>
      <c r="M107" s="118"/>
      <c r="N107" s="118"/>
      <c r="O107" s="118"/>
      <c r="P107" s="118"/>
      <c r="Q107" s="118"/>
    </row>
    <row r="108" spans="1:17" ht="33.75" customHeight="1">
      <c r="A108" s="11"/>
      <c r="B108" s="86"/>
      <c r="C108" s="68"/>
      <c r="D108" s="422" t="s">
        <v>243</v>
      </c>
      <c r="E108" s="422"/>
      <c r="F108" s="422"/>
      <c r="G108" s="422"/>
      <c r="H108" s="422"/>
      <c r="I108" s="78"/>
      <c r="J108" s="87"/>
      <c r="K108" s="14"/>
      <c r="L108" s="118"/>
      <c r="M108" s="118"/>
      <c r="N108" s="118"/>
      <c r="O108" s="118"/>
      <c r="P108" s="118"/>
      <c r="Q108" s="118"/>
    </row>
    <row r="109" spans="1:17" ht="12.75">
      <c r="A109" s="11"/>
      <c r="B109" s="86"/>
      <c r="C109" s="58"/>
      <c r="D109" s="14"/>
      <c r="E109" s="18"/>
      <c r="F109" s="14"/>
      <c r="G109" s="22"/>
      <c r="H109" s="14"/>
      <c r="I109" s="14"/>
      <c r="J109" s="87"/>
      <c r="K109" s="14"/>
      <c r="L109" s="118"/>
      <c r="M109" s="118"/>
      <c r="N109" s="118"/>
      <c r="O109" s="118"/>
      <c r="P109" s="118"/>
      <c r="Q109" s="118"/>
    </row>
    <row r="110" spans="1:17" ht="14.25" customHeight="1">
      <c r="A110" s="11"/>
      <c r="B110" s="86"/>
      <c r="C110" s="138"/>
      <c r="D110" s="139" t="s">
        <v>98</v>
      </c>
      <c r="E110" s="140"/>
      <c r="F110" s="141"/>
      <c r="G110" s="141"/>
      <c r="H110" s="142"/>
      <c r="I110" s="143"/>
      <c r="J110" s="87"/>
      <c r="K110" s="14"/>
      <c r="L110" s="118"/>
      <c r="M110" s="118"/>
      <c r="N110" s="118"/>
      <c r="O110" s="118"/>
      <c r="P110" s="118"/>
      <c r="Q110" s="118"/>
    </row>
    <row r="111" spans="1:17" ht="14.25" customHeight="1">
      <c r="A111" s="11"/>
      <c r="B111" s="86"/>
      <c r="C111" s="59"/>
      <c r="D111" s="421" t="s">
        <v>109</v>
      </c>
      <c r="E111" s="421"/>
      <c r="F111" s="421"/>
      <c r="G111" s="421"/>
      <c r="H111" s="421"/>
      <c r="I111" s="60"/>
      <c r="J111" s="87"/>
      <c r="K111" s="14"/>
      <c r="L111" s="118"/>
      <c r="M111" s="118"/>
      <c r="N111" s="118"/>
      <c r="O111" s="118"/>
      <c r="P111" s="118"/>
      <c r="Q111" s="118"/>
    </row>
    <row r="112" spans="1:17" ht="12.75">
      <c r="A112" s="11"/>
      <c r="B112" s="86"/>
      <c r="C112" s="61"/>
      <c r="D112" s="8" t="s">
        <v>40</v>
      </c>
      <c r="E112" s="18" t="s">
        <v>99</v>
      </c>
      <c r="F112" s="401"/>
      <c r="G112" s="36" t="s">
        <v>8</v>
      </c>
      <c r="H112" s="16"/>
      <c r="I112" s="63"/>
      <c r="J112" s="87"/>
      <c r="K112" s="14"/>
      <c r="L112" s="118"/>
      <c r="M112" s="118"/>
      <c r="N112" s="118"/>
      <c r="O112" s="118"/>
      <c r="P112" s="118"/>
      <c r="Q112" s="118"/>
    </row>
    <row r="113" spans="1:17" s="147" customFormat="1" ht="16.5" customHeight="1">
      <c r="A113" s="136"/>
      <c r="B113" s="137"/>
      <c r="C113" s="61"/>
      <c r="D113" s="19"/>
      <c r="E113" s="110"/>
      <c r="F113" s="44"/>
      <c r="G113" s="36"/>
      <c r="H113" s="36"/>
      <c r="I113" s="62"/>
      <c r="J113" s="144"/>
      <c r="K113" s="145"/>
      <c r="L113" s="146"/>
      <c r="M113" s="146"/>
      <c r="N113" s="146"/>
      <c r="O113" s="146"/>
      <c r="P113" s="146"/>
      <c r="Q113" s="146"/>
    </row>
    <row r="114" spans="1:19" ht="15.75" customHeight="1">
      <c r="A114" s="11"/>
      <c r="B114" s="86"/>
      <c r="C114" s="61"/>
      <c r="D114" s="8" t="s">
        <v>26</v>
      </c>
      <c r="E114" s="18" t="s">
        <v>99</v>
      </c>
      <c r="F114" s="312">
        <v>0.625</v>
      </c>
      <c r="G114" s="36" t="s">
        <v>27</v>
      </c>
      <c r="H114" s="176" t="s">
        <v>69</v>
      </c>
      <c r="I114" s="63"/>
      <c r="J114" s="88"/>
      <c r="K114" s="14"/>
      <c r="L114" s="121"/>
      <c r="M114" s="121"/>
      <c r="N114" s="121"/>
      <c r="O114" s="121"/>
      <c r="P114" s="121"/>
      <c r="Q114" s="121"/>
      <c r="R114" s="122"/>
      <c r="S114" s="122"/>
    </row>
    <row r="115" spans="1:17" ht="12.75">
      <c r="A115" s="11"/>
      <c r="B115" s="86"/>
      <c r="C115" s="61"/>
      <c r="D115" s="19"/>
      <c r="E115" s="110"/>
      <c r="F115" s="44"/>
      <c r="G115" s="36"/>
      <c r="H115" s="160"/>
      <c r="I115" s="62"/>
      <c r="J115" s="87"/>
      <c r="K115" s="14"/>
      <c r="L115" s="118"/>
      <c r="M115" s="118"/>
      <c r="N115" s="118"/>
      <c r="O115" s="118"/>
      <c r="P115" s="118"/>
      <c r="Q115" s="118"/>
    </row>
    <row r="116" spans="1:19" ht="15">
      <c r="A116" s="11"/>
      <c r="B116" s="86"/>
      <c r="C116" s="61"/>
      <c r="D116" s="8" t="s">
        <v>13</v>
      </c>
      <c r="E116" s="18" t="s">
        <v>99</v>
      </c>
      <c r="F116" s="313">
        <v>1000</v>
      </c>
      <c r="G116" s="36" t="s">
        <v>38</v>
      </c>
      <c r="H116" s="176" t="s">
        <v>110</v>
      </c>
      <c r="I116" s="63"/>
      <c r="J116" s="88"/>
      <c r="K116" s="14"/>
      <c r="L116" s="121"/>
      <c r="M116" s="121"/>
      <c r="N116" s="121"/>
      <c r="O116" s="121"/>
      <c r="P116" s="121"/>
      <c r="Q116" s="121"/>
      <c r="R116" s="122"/>
      <c r="S116" s="122"/>
    </row>
    <row r="117" spans="1:17" ht="15" customHeight="1">
      <c r="A117" s="11"/>
      <c r="B117" s="86"/>
      <c r="C117" s="61"/>
      <c r="D117" s="19"/>
      <c r="E117" s="110"/>
      <c r="F117" s="44"/>
      <c r="G117" s="36"/>
      <c r="H117" s="160"/>
      <c r="I117" s="62"/>
      <c r="J117" s="87"/>
      <c r="K117" s="14"/>
      <c r="L117" s="118"/>
      <c r="M117" s="118"/>
      <c r="N117" s="118"/>
      <c r="O117" s="118"/>
      <c r="P117" s="118"/>
      <c r="Q117" s="118"/>
    </row>
    <row r="118" spans="1:19" ht="12.75">
      <c r="A118" s="11"/>
      <c r="B118" s="86"/>
      <c r="C118" s="61"/>
      <c r="D118" s="366" t="s">
        <v>242</v>
      </c>
      <c r="E118" s="18" t="s">
        <v>99</v>
      </c>
      <c r="F118" s="314"/>
      <c r="G118" s="36" t="s">
        <v>73</v>
      </c>
      <c r="H118" s="176"/>
      <c r="I118" s="63"/>
      <c r="J118" s="88"/>
      <c r="K118" s="14"/>
      <c r="L118" s="121"/>
      <c r="M118" s="121"/>
      <c r="N118" s="121"/>
      <c r="O118" s="121"/>
      <c r="P118" s="121"/>
      <c r="Q118" s="121"/>
      <c r="R118" s="122"/>
      <c r="S118" s="122"/>
    </row>
    <row r="119" spans="1:17" ht="15.75" customHeight="1">
      <c r="A119" s="11"/>
      <c r="B119" s="86"/>
      <c r="C119" s="61"/>
      <c r="D119" s="19"/>
      <c r="E119" s="110"/>
      <c r="F119" s="44"/>
      <c r="G119" s="36"/>
      <c r="H119" s="160"/>
      <c r="I119" s="62"/>
      <c r="J119" s="87"/>
      <c r="K119" s="14"/>
      <c r="L119" s="118"/>
      <c r="M119" s="118"/>
      <c r="N119" s="118"/>
      <c r="O119" s="118"/>
      <c r="P119" s="118"/>
      <c r="Q119" s="118"/>
    </row>
    <row r="120" spans="1:19" ht="12.75">
      <c r="A120" s="11"/>
      <c r="B120" s="86"/>
      <c r="C120" s="61"/>
      <c r="D120" s="8" t="s">
        <v>148</v>
      </c>
      <c r="E120" s="18" t="s">
        <v>99</v>
      </c>
      <c r="F120" s="313"/>
      <c r="G120" s="36" t="s">
        <v>147</v>
      </c>
      <c r="H120" s="176" t="s">
        <v>83</v>
      </c>
      <c r="I120" s="63"/>
      <c r="J120" s="88"/>
      <c r="K120" s="14"/>
      <c r="L120" s="121"/>
      <c r="M120" s="121"/>
      <c r="N120" s="121"/>
      <c r="O120" s="121"/>
      <c r="P120" s="121"/>
      <c r="Q120" s="121"/>
      <c r="R120" s="122"/>
      <c r="S120" s="122"/>
    </row>
    <row r="121" spans="1:17" ht="12.75">
      <c r="A121" s="11"/>
      <c r="B121" s="86"/>
      <c r="C121" s="68"/>
      <c r="D121" s="69"/>
      <c r="E121" s="69"/>
      <c r="F121" s="69"/>
      <c r="G121" s="69"/>
      <c r="H121" s="179"/>
      <c r="I121" s="78"/>
      <c r="J121" s="87"/>
      <c r="K121" s="14"/>
      <c r="L121" s="118"/>
      <c r="M121" s="118"/>
      <c r="N121" s="118"/>
      <c r="O121" s="118"/>
      <c r="P121" s="118"/>
      <c r="Q121" s="118"/>
    </row>
    <row r="122" spans="1:19" ht="4.5" customHeight="1">
      <c r="A122" s="11"/>
      <c r="B122" s="86"/>
      <c r="C122" s="58"/>
      <c r="D122" s="14"/>
      <c r="E122" s="18"/>
      <c r="F122" s="14"/>
      <c r="G122" s="21"/>
      <c r="H122" s="14"/>
      <c r="I122" s="14"/>
      <c r="J122" s="88"/>
      <c r="K122" s="14"/>
      <c r="L122" s="121"/>
      <c r="M122" s="121"/>
      <c r="N122" s="121"/>
      <c r="O122" s="121"/>
      <c r="P122" s="121"/>
      <c r="Q122" s="121"/>
      <c r="R122" s="122"/>
      <c r="S122" s="122"/>
    </row>
    <row r="123" spans="1:17" ht="12.75" customHeight="1">
      <c r="A123" s="11"/>
      <c r="B123" s="86"/>
      <c r="C123" s="138"/>
      <c r="D123" s="139" t="s">
        <v>94</v>
      </c>
      <c r="E123" s="140"/>
      <c r="F123" s="141"/>
      <c r="G123" s="141"/>
      <c r="H123" s="142"/>
      <c r="I123" s="143"/>
      <c r="J123" s="87"/>
      <c r="K123" s="14"/>
      <c r="L123" s="118"/>
      <c r="N123" s="118"/>
      <c r="O123" s="118"/>
      <c r="P123" s="118"/>
      <c r="Q123" s="118"/>
    </row>
    <row r="124" spans="1:17" ht="12.75">
      <c r="A124" s="11"/>
      <c r="B124" s="86"/>
      <c r="C124" s="169"/>
      <c r="D124" s="417" t="s">
        <v>107</v>
      </c>
      <c r="E124" s="417"/>
      <c r="F124" s="417"/>
      <c r="G124" s="417"/>
      <c r="H124" s="417"/>
      <c r="I124" s="170"/>
      <c r="J124" s="87"/>
      <c r="K124" s="14"/>
      <c r="L124" s="118"/>
      <c r="N124" s="118"/>
      <c r="O124" s="118"/>
      <c r="P124" s="118"/>
      <c r="Q124" s="118"/>
    </row>
    <row r="125" spans="1:17" ht="25.5">
      <c r="A125" s="11"/>
      <c r="B125" s="86"/>
      <c r="C125" s="61"/>
      <c r="D125" s="8" t="s">
        <v>24</v>
      </c>
      <c r="E125" s="18" t="s">
        <v>99</v>
      </c>
      <c r="F125" s="309"/>
      <c r="G125" s="36"/>
      <c r="H125" s="180" t="s">
        <v>95</v>
      </c>
      <c r="I125" s="63"/>
      <c r="J125" s="87"/>
      <c r="K125" s="14"/>
      <c r="L125" s="118"/>
      <c r="M125" s="118"/>
      <c r="N125" s="118"/>
      <c r="O125" s="118"/>
      <c r="P125" s="118"/>
      <c r="Q125" s="118"/>
    </row>
    <row r="126" spans="1:17" s="147" customFormat="1" ht="16.5" customHeight="1">
      <c r="A126" s="136"/>
      <c r="B126" s="137"/>
      <c r="C126" s="61"/>
      <c r="D126" s="19"/>
      <c r="E126" s="110"/>
      <c r="F126" s="44"/>
      <c r="G126" s="36"/>
      <c r="H126" s="160"/>
      <c r="I126" s="62"/>
      <c r="J126" s="144"/>
      <c r="K126" s="145"/>
      <c r="L126" s="146"/>
      <c r="M126" s="146"/>
      <c r="N126" s="146"/>
      <c r="O126" s="146"/>
      <c r="P126" s="146"/>
      <c r="Q126" s="146"/>
    </row>
    <row r="127" spans="1:19" s="175" customFormat="1" ht="29.25" customHeight="1">
      <c r="A127" s="167"/>
      <c r="B127" s="168"/>
      <c r="C127" s="61"/>
      <c r="D127" s="8" t="s">
        <v>44</v>
      </c>
      <c r="E127" s="18" t="s">
        <v>99</v>
      </c>
      <c r="F127" s="315"/>
      <c r="G127" s="36"/>
      <c r="H127" s="180" t="s">
        <v>96</v>
      </c>
      <c r="I127" s="63"/>
      <c r="J127" s="171"/>
      <c r="K127" s="172"/>
      <c r="L127" s="173"/>
      <c r="M127" s="173"/>
      <c r="N127" s="173"/>
      <c r="O127" s="173"/>
      <c r="P127" s="173"/>
      <c r="Q127" s="173"/>
      <c r="R127" s="174"/>
      <c r="S127" s="174"/>
    </row>
    <row r="128" spans="1:17" ht="12.75">
      <c r="A128" s="11"/>
      <c r="B128" s="86"/>
      <c r="C128" s="61"/>
      <c r="D128" s="19"/>
      <c r="E128" s="110"/>
      <c r="F128" s="44"/>
      <c r="G128" s="36"/>
      <c r="H128" s="160"/>
      <c r="I128" s="62"/>
      <c r="J128" s="87"/>
      <c r="K128" s="14"/>
      <c r="L128" s="118"/>
      <c r="M128" s="118"/>
      <c r="N128" s="118"/>
      <c r="O128" s="118"/>
      <c r="P128" s="118"/>
      <c r="Q128" s="118"/>
    </row>
    <row r="129" spans="1:19" ht="51">
      <c r="A129" s="11"/>
      <c r="B129" s="86"/>
      <c r="C129" s="61"/>
      <c r="D129" s="366" t="s">
        <v>236</v>
      </c>
      <c r="E129" s="18" t="s">
        <v>99</v>
      </c>
      <c r="F129" s="316"/>
      <c r="G129" s="311" t="s">
        <v>145</v>
      </c>
      <c r="H129" s="180" t="s">
        <v>144</v>
      </c>
      <c r="I129" s="101"/>
      <c r="J129" s="88"/>
      <c r="K129" s="14"/>
      <c r="L129" s="121"/>
      <c r="M129" s="121"/>
      <c r="N129" s="121"/>
      <c r="O129" s="121"/>
      <c r="P129" s="121"/>
      <c r="Q129" s="121"/>
      <c r="R129" s="122"/>
      <c r="S129" s="122"/>
    </row>
    <row r="130" spans="1:17" ht="12.75">
      <c r="A130" s="11"/>
      <c r="B130" s="86"/>
      <c r="C130" s="68"/>
      <c r="D130" s="69"/>
      <c r="E130" s="113"/>
      <c r="F130" s="69"/>
      <c r="G130" s="76"/>
      <c r="H130" s="103"/>
      <c r="I130" s="104"/>
      <c r="J130" s="87"/>
      <c r="K130" s="14"/>
      <c r="L130" s="118"/>
      <c r="M130" s="118"/>
      <c r="N130" s="118"/>
      <c r="O130" s="118"/>
      <c r="P130" s="118"/>
      <c r="Q130" s="118"/>
    </row>
    <row r="131" spans="1:19" ht="4.5" customHeight="1">
      <c r="A131" s="11"/>
      <c r="B131" s="86"/>
      <c r="C131" s="14"/>
      <c r="D131" s="14"/>
      <c r="E131" s="18"/>
      <c r="F131" s="380"/>
      <c r="G131" s="36"/>
      <c r="H131" s="381"/>
      <c r="I131" s="381"/>
      <c r="J131" s="88"/>
      <c r="K131" s="14"/>
      <c r="L131" s="121"/>
      <c r="M131" s="121"/>
      <c r="N131" s="121"/>
      <c r="O131" s="121"/>
      <c r="P131" s="121"/>
      <c r="Q131" s="121"/>
      <c r="R131" s="122"/>
      <c r="S131" s="122"/>
    </row>
    <row r="132" spans="1:17" ht="4.5" customHeight="1" thickBot="1">
      <c r="A132" s="11"/>
      <c r="B132" s="92"/>
      <c r="C132" s="93"/>
      <c r="D132" s="94"/>
      <c r="E132" s="115"/>
      <c r="F132" s="95"/>
      <c r="G132" s="96"/>
      <c r="H132" s="94"/>
      <c r="I132" s="94"/>
      <c r="J132" s="97"/>
      <c r="K132" s="14"/>
      <c r="L132" s="118"/>
      <c r="M132" s="118"/>
      <c r="N132" s="118"/>
      <c r="O132" s="118"/>
      <c r="P132" s="118"/>
      <c r="Q132" s="118"/>
    </row>
    <row r="133" spans="1:17" ht="4.5" customHeight="1">
      <c r="A133" s="11"/>
      <c r="B133" s="58"/>
      <c r="C133" s="58"/>
      <c r="D133" s="14"/>
      <c r="E133" s="18"/>
      <c r="F133" s="382"/>
      <c r="G133" s="21"/>
      <c r="H133" s="14"/>
      <c r="I133" s="14"/>
      <c r="J133" s="14"/>
      <c r="K133" s="14"/>
      <c r="L133" s="118"/>
      <c r="M133" s="118"/>
      <c r="N133" s="118"/>
      <c r="O133" s="118"/>
      <c r="P133" s="118"/>
      <c r="Q133" s="118"/>
    </row>
    <row r="134" spans="1:11" ht="73.5" customHeight="1">
      <c r="A134" s="11"/>
      <c r="B134" s="299" t="s">
        <v>300</v>
      </c>
      <c r="C134" s="160"/>
      <c r="D134" s="160"/>
      <c r="E134" s="160"/>
      <c r="F134" s="160"/>
      <c r="G134" s="160"/>
      <c r="H134" s="160"/>
      <c r="I134" s="160"/>
      <c r="J134" s="160"/>
      <c r="K134" s="11"/>
    </row>
    <row r="135" ht="12.75">
      <c r="G135" s="117"/>
    </row>
    <row r="136" ht="12.75">
      <c r="G136" s="117"/>
    </row>
    <row r="137" ht="12.75">
      <c r="G137" s="117"/>
    </row>
    <row r="138" spans="7:9" ht="15">
      <c r="G138" s="117"/>
      <c r="H138" s="127"/>
      <c r="I138" s="127"/>
    </row>
    <row r="139" spans="7:9" ht="15">
      <c r="G139" s="117"/>
      <c r="H139" s="127"/>
      <c r="I139" s="127"/>
    </row>
    <row r="140" spans="7:9" ht="15">
      <c r="G140" s="117"/>
      <c r="H140" s="127"/>
      <c r="I140" s="127"/>
    </row>
    <row r="141" spans="7:9" ht="15">
      <c r="G141" s="117"/>
      <c r="H141" s="127"/>
      <c r="I141" s="127"/>
    </row>
    <row r="142" spans="7:9" ht="15">
      <c r="G142" s="117"/>
      <c r="H142" s="127"/>
      <c r="I142" s="127"/>
    </row>
    <row r="143" spans="7:9" ht="15">
      <c r="G143" s="117"/>
      <c r="H143" s="127"/>
      <c r="I143" s="127"/>
    </row>
    <row r="144" spans="7:9" ht="15">
      <c r="G144" s="117"/>
      <c r="H144" s="127"/>
      <c r="I144" s="127"/>
    </row>
    <row r="145" spans="7:9" ht="15">
      <c r="G145" s="117"/>
      <c r="H145" s="127"/>
      <c r="I145" s="127"/>
    </row>
    <row r="146" spans="7:9" ht="15">
      <c r="G146" s="117"/>
      <c r="H146" s="127"/>
      <c r="I146" s="127"/>
    </row>
    <row r="147" spans="7:9" ht="15">
      <c r="G147" s="117"/>
      <c r="H147" s="127"/>
      <c r="I147" s="127"/>
    </row>
    <row r="148" spans="7:9" ht="15">
      <c r="G148" s="117"/>
      <c r="H148" s="127"/>
      <c r="I148" s="127"/>
    </row>
    <row r="149" spans="7:9" ht="15">
      <c r="G149" s="117"/>
      <c r="H149" s="127"/>
      <c r="I149" s="127"/>
    </row>
    <row r="150" spans="7:9" ht="15">
      <c r="G150" s="117"/>
      <c r="H150" s="127"/>
      <c r="I150" s="127"/>
    </row>
    <row r="151" spans="7:9" ht="15">
      <c r="G151" s="117"/>
      <c r="H151" s="127"/>
      <c r="I151" s="127"/>
    </row>
    <row r="152" spans="7:9" ht="15">
      <c r="G152" s="117"/>
      <c r="H152" s="127"/>
      <c r="I152" s="127"/>
    </row>
    <row r="153" spans="7:9" ht="15">
      <c r="G153" s="117"/>
      <c r="H153" s="127"/>
      <c r="I153" s="127"/>
    </row>
    <row r="154" spans="7:9" ht="15">
      <c r="G154" s="117"/>
      <c r="H154" s="127"/>
      <c r="I154" s="127"/>
    </row>
    <row r="155" spans="7:9" ht="15">
      <c r="G155" s="117"/>
      <c r="H155" s="127"/>
      <c r="I155" s="127"/>
    </row>
    <row r="156" spans="7:9" ht="15">
      <c r="G156" s="117"/>
      <c r="H156" s="127"/>
      <c r="I156" s="127"/>
    </row>
    <row r="157" spans="7:9" ht="15">
      <c r="G157" s="117"/>
      <c r="H157" s="127"/>
      <c r="I157" s="127"/>
    </row>
    <row r="158" spans="7:9" ht="15">
      <c r="G158" s="117"/>
      <c r="H158" s="127"/>
      <c r="I158" s="127"/>
    </row>
    <row r="159" spans="7:9" ht="15">
      <c r="G159" s="117"/>
      <c r="H159" s="127"/>
      <c r="I159" s="127"/>
    </row>
    <row r="160" spans="7:9" ht="15">
      <c r="G160" s="117"/>
      <c r="H160" s="127"/>
      <c r="I160" s="127"/>
    </row>
    <row r="161" spans="7:9" ht="15">
      <c r="G161" s="117"/>
      <c r="H161" s="127"/>
      <c r="I161" s="127"/>
    </row>
    <row r="162" spans="7:9" ht="15">
      <c r="G162" s="117"/>
      <c r="H162" s="128"/>
      <c r="I162" s="128"/>
    </row>
    <row r="163" spans="7:9" ht="15">
      <c r="G163" s="117"/>
      <c r="H163" s="129"/>
      <c r="I163" s="129"/>
    </row>
    <row r="164" spans="7:9" ht="15">
      <c r="G164" s="117"/>
      <c r="H164" s="129"/>
      <c r="I164" s="129"/>
    </row>
    <row r="165" spans="7:9" ht="15">
      <c r="G165" s="117"/>
      <c r="H165" s="127"/>
      <c r="I165" s="127"/>
    </row>
    <row r="166" spans="7:9" ht="15">
      <c r="G166" s="117"/>
      <c r="H166" s="127"/>
      <c r="I166" s="127"/>
    </row>
    <row r="167" spans="7:9" ht="15">
      <c r="G167" s="117"/>
      <c r="H167" s="127"/>
      <c r="I167" s="127"/>
    </row>
    <row r="168" spans="8:9" ht="15">
      <c r="H168" s="127"/>
      <c r="I168" s="127"/>
    </row>
  </sheetData>
  <sheetProtection sheet="1"/>
  <mergeCells count="7">
    <mergeCell ref="D124:H124"/>
    <mergeCell ref="F8:G8"/>
    <mergeCell ref="F6:G6"/>
    <mergeCell ref="D15:H15"/>
    <mergeCell ref="D50:H50"/>
    <mergeCell ref="D111:H111"/>
    <mergeCell ref="D108:H108"/>
  </mergeCells>
  <conditionalFormatting sqref="G83">
    <cfRule type="expression" priority="3" dxfId="1" stopIfTrue="1">
      <formula>#REF!="m of head"</formula>
    </cfRule>
  </conditionalFormatting>
  <dataValidations count="4">
    <dataValidation type="list" allowBlank="1" showInputMessage="1" showErrorMessage="1" sqref="G129">
      <formula1>Friction</formula1>
    </dataValidation>
    <dataValidation type="list" allowBlank="1" showInputMessage="1" showErrorMessage="1" sqref="G55">
      <formula1>Pressure</formula1>
    </dataValidation>
    <dataValidation type="list" allowBlank="1" showInputMessage="1" showErrorMessage="1" sqref="G57">
      <formula1>flow_rate</formula1>
    </dataValidation>
    <dataValidation type="list" allowBlank="1" showInputMessage="1" showErrorMessage="1" sqref="F59">
      <formula1>diameter</formula1>
    </dataValidation>
  </dataValidations>
  <hyperlinks>
    <hyperlink ref="H125" r:id="rId1" display="Full Load Efficiency from EuroDEEM free software for motor of your size (or use the benchmark motor)"/>
    <hyperlink ref="H127" r:id="rId2" display="Use ~85% value or download PSAT (click here) for typical achievable values"/>
    <hyperlink ref="H129" r:id="rId3" display="For an 18&quot; concrete pipe losses range from 0.4 - 1m hd per km for flow in the region of 250-450 m3/hour.  Online pressure calculator available from Pressure-Drop.com (click here), use online version and not the downloadable version."/>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2" r:id="rId7"/>
  <colBreaks count="1" manualBreakCount="1">
    <brk id="11" max="65535" man="1"/>
  </colBreaks>
  <drawing r:id="rId6"/>
  <legacyDrawing r:id="rId5"/>
  <oleObjects>
    <oleObject progId="Visio.Drawing.11" shapeId="39810542" r:id="rId4"/>
  </oleObjects>
</worksheet>
</file>

<file path=xl/worksheets/sheet4.xml><?xml version="1.0" encoding="utf-8"?>
<worksheet xmlns="http://schemas.openxmlformats.org/spreadsheetml/2006/main" xmlns:r="http://schemas.openxmlformats.org/officeDocument/2006/relationships">
  <sheetPr>
    <tabColor rgb="FF008080"/>
    <pageSetUpPr fitToPage="1"/>
  </sheetPr>
  <dimension ref="A1:P57"/>
  <sheetViews>
    <sheetView zoomScaleSheetLayoutView="100" zoomScalePageLayoutView="0" workbookViewId="0" topLeftCell="A1">
      <selection activeCell="A1" sqref="A1"/>
    </sheetView>
  </sheetViews>
  <sheetFormatPr defaultColWidth="29.57421875" defaultRowHeight="15"/>
  <cols>
    <col min="1" max="1" width="1.1484375" style="154" customWidth="1"/>
    <col min="2" max="2" width="0.85546875" style="156" customWidth="1"/>
    <col min="3" max="3" width="23.00390625" style="154" customWidth="1"/>
    <col min="4" max="4" width="1.1484375" style="154" customWidth="1"/>
    <col min="5" max="5" width="13.140625" style="154" customWidth="1"/>
    <col min="6" max="6" width="14.140625" style="154" customWidth="1"/>
    <col min="7" max="7" width="19.140625" style="154" customWidth="1"/>
    <col min="8" max="8" width="18.7109375" style="154" customWidth="1"/>
    <col min="9" max="9" width="1.28515625" style="154" customWidth="1"/>
    <col min="10" max="10" width="1.7109375" style="154" customWidth="1"/>
    <col min="11" max="11" width="29.57421875" style="154" hidden="1" customWidth="1"/>
    <col min="12" max="16384" width="29.57421875" style="154" customWidth="1"/>
  </cols>
  <sheetData>
    <row r="1" spans="1:11" s="117" customFormat="1" ht="9" customHeight="1" thickBot="1">
      <c r="A1" s="11"/>
      <c r="B1" s="10"/>
      <c r="C1" s="10"/>
      <c r="D1" s="10"/>
      <c r="E1" s="11"/>
      <c r="F1" s="105"/>
      <c r="G1" s="11"/>
      <c r="H1" s="12"/>
      <c r="I1" s="11"/>
      <c r="J1" s="3"/>
      <c r="K1" s="11"/>
    </row>
    <row r="2" spans="1:13" s="117" customFormat="1" ht="4.5" customHeight="1">
      <c r="A2" s="11"/>
      <c r="B2" s="79"/>
      <c r="C2" s="80"/>
      <c r="D2" s="80"/>
      <c r="E2" s="81"/>
      <c r="F2" s="106"/>
      <c r="G2" s="82"/>
      <c r="H2" s="82"/>
      <c r="I2" s="83"/>
      <c r="J2" s="3"/>
      <c r="K2" s="14"/>
      <c r="L2" s="118"/>
      <c r="M2" s="118"/>
    </row>
    <row r="3" spans="1:13" s="120" customFormat="1" ht="23.25">
      <c r="A3" s="1"/>
      <c r="B3" s="84"/>
      <c r="C3" s="132" t="s">
        <v>100</v>
      </c>
      <c r="D3" s="132"/>
      <c r="E3" s="8"/>
      <c r="F3" s="107"/>
      <c r="G3" s="8"/>
      <c r="H3" s="18"/>
      <c r="I3" s="85"/>
      <c r="J3" s="3"/>
      <c r="K3" s="8"/>
      <c r="L3" s="119"/>
      <c r="M3" s="119"/>
    </row>
    <row r="4" spans="1:13" s="120" customFormat="1" ht="21" customHeight="1">
      <c r="A4" s="1"/>
      <c r="B4" s="84"/>
      <c r="C4" s="132" t="s">
        <v>112</v>
      </c>
      <c r="D4" s="132"/>
      <c r="E4" s="8"/>
      <c r="F4" s="20"/>
      <c r="G4" s="20"/>
      <c r="H4" s="20"/>
      <c r="I4" s="85"/>
      <c r="J4" s="3"/>
      <c r="K4" s="8"/>
      <c r="L4" s="119"/>
      <c r="M4" s="119"/>
    </row>
    <row r="5" spans="1:13" s="120" customFormat="1" ht="12" customHeight="1">
      <c r="A5" s="1"/>
      <c r="B5" s="84"/>
      <c r="C5" s="132"/>
      <c r="D5" s="132"/>
      <c r="E5" s="8"/>
      <c r="F5" s="20"/>
      <c r="G5" s="20"/>
      <c r="H5" s="20"/>
      <c r="I5" s="85"/>
      <c r="J5" s="3"/>
      <c r="K5" s="8"/>
      <c r="L5" s="119"/>
      <c r="M5" s="119"/>
    </row>
    <row r="6" spans="1:13" s="120" customFormat="1" ht="17.25" customHeight="1">
      <c r="A6" s="1"/>
      <c r="B6" s="84"/>
      <c r="C6" s="188" t="s">
        <v>128</v>
      </c>
      <c r="D6" s="139"/>
      <c r="E6" s="139"/>
      <c r="F6" s="189"/>
      <c r="G6" s="20"/>
      <c r="H6" s="20"/>
      <c r="I6" s="85"/>
      <c r="J6" s="3"/>
      <c r="K6" s="8"/>
      <c r="L6" s="119"/>
      <c r="M6" s="119"/>
    </row>
    <row r="7" spans="1:13" s="120" customFormat="1" ht="3.75" customHeight="1">
      <c r="A7" s="1"/>
      <c r="B7" s="84"/>
      <c r="C7" s="190"/>
      <c r="D7" s="187"/>
      <c r="E7" s="288"/>
      <c r="F7" s="289"/>
      <c r="G7" s="20"/>
      <c r="H7" s="20"/>
      <c r="I7" s="85"/>
      <c r="J7" s="3"/>
      <c r="K7" s="8"/>
      <c r="L7" s="119"/>
      <c r="M7" s="119"/>
    </row>
    <row r="8" spans="1:11" ht="11.25" customHeight="1">
      <c r="A8" s="7"/>
      <c r="B8" s="148"/>
      <c r="C8" s="192"/>
      <c r="D8" s="44"/>
      <c r="E8" s="290" t="s">
        <v>56</v>
      </c>
      <c r="F8" s="291" t="s">
        <v>57</v>
      </c>
      <c r="G8" s="182"/>
      <c r="H8" s="181"/>
      <c r="I8" s="149"/>
      <c r="J8" s="3"/>
      <c r="K8" s="3"/>
    </row>
    <row r="9" spans="1:11" ht="4.5" customHeight="1">
      <c r="A9" s="7"/>
      <c r="B9" s="148"/>
      <c r="C9" s="192"/>
      <c r="D9" s="44"/>
      <c r="E9" s="19"/>
      <c r="F9" s="193"/>
      <c r="G9" s="182"/>
      <c r="H9" s="181"/>
      <c r="I9" s="149"/>
      <c r="J9" s="3"/>
      <c r="K9" s="3"/>
    </row>
    <row r="10" spans="1:11" ht="12.75">
      <c r="A10" s="3"/>
      <c r="B10" s="148"/>
      <c r="C10" s="194" t="s">
        <v>24</v>
      </c>
      <c r="D10" s="19" t="s">
        <v>99</v>
      </c>
      <c r="E10" s="292">
        <f>Inputs!F41</f>
        <v>0</v>
      </c>
      <c r="F10" s="293">
        <f>Inputs!F125</f>
        <v>0</v>
      </c>
      <c r="G10" s="182"/>
      <c r="H10" s="183"/>
      <c r="I10" s="149"/>
      <c r="J10" s="3"/>
      <c r="K10" s="3"/>
    </row>
    <row r="11" spans="1:11" ht="6" customHeight="1">
      <c r="A11" s="3"/>
      <c r="B11" s="148"/>
      <c r="C11" s="194"/>
      <c r="D11" s="19"/>
      <c r="E11" s="292"/>
      <c r="F11" s="293"/>
      <c r="G11" s="182"/>
      <c r="H11" s="183"/>
      <c r="I11" s="149"/>
      <c r="J11" s="3"/>
      <c r="K11" s="3"/>
    </row>
    <row r="12" spans="1:11" ht="12.75">
      <c r="A12" s="3"/>
      <c r="B12" s="148"/>
      <c r="C12" s="194" t="s">
        <v>44</v>
      </c>
      <c r="D12" s="19" t="s">
        <v>99</v>
      </c>
      <c r="E12" s="292" t="str">
        <f>Inputs!F69</f>
        <v>-</v>
      </c>
      <c r="F12" s="293">
        <f>Inputs!F127</f>
        <v>0</v>
      </c>
      <c r="G12" s="182"/>
      <c r="H12" s="184"/>
      <c r="I12" s="149"/>
      <c r="J12" s="3"/>
      <c r="K12" s="3"/>
    </row>
    <row r="13" spans="1:11" ht="6.75" customHeight="1">
      <c r="A13" s="3"/>
      <c r="B13" s="148"/>
      <c r="C13" s="194"/>
      <c r="D13" s="19"/>
      <c r="E13" s="292"/>
      <c r="F13" s="293"/>
      <c r="G13" s="182"/>
      <c r="H13" s="184"/>
      <c r="I13" s="149"/>
      <c r="J13" s="3"/>
      <c r="K13" s="3"/>
    </row>
    <row r="14" spans="1:11" ht="12.75">
      <c r="A14" s="3"/>
      <c r="B14" s="148"/>
      <c r="C14" s="194" t="s">
        <v>50</v>
      </c>
      <c r="D14" s="19" t="s">
        <v>99</v>
      </c>
      <c r="E14" s="292" t="e">
        <f>IF(Inputs!G55="m of head",1-(('Fixed Data'!C39-Inputs!F53)/'Fixed Data'!C39),IF(Inputs!G55="Bar",1-(('Fixed Data'!C40-Inputs!F53)/'Fixed Data'!C40),IF(Inputs!G55="psi",1-('Fixed Data'!C41-Inputs!F53)/'Fixed Data'!C41)))</f>
        <v>#DIV/0!</v>
      </c>
      <c r="F14" s="293" t="e">
        <f>IF(Inputs!G129="m hd per km of pipe",1-((Inputs!$F$129*Inputs!$F$118)/'Fixed Data'!$C$43),IF(Inputs!G129="bar per km of pipe",1-((Inputs!$F$129*Inputs!$F$118*'Fixed Data'!I4)/'Fixed Data'!$C$43)))</f>
        <v>#DIV/0!</v>
      </c>
      <c r="G14" s="182"/>
      <c r="H14" s="182"/>
      <c r="I14" s="149"/>
      <c r="J14" s="3"/>
      <c r="K14" s="3"/>
    </row>
    <row r="15" spans="1:11" ht="6" customHeight="1">
      <c r="A15" s="3"/>
      <c r="B15" s="148"/>
      <c r="C15" s="194"/>
      <c r="D15" s="19"/>
      <c r="E15" s="292"/>
      <c r="F15" s="293"/>
      <c r="G15" s="182"/>
      <c r="H15" s="182"/>
      <c r="I15" s="149"/>
      <c r="J15" s="3"/>
      <c r="K15" s="3"/>
    </row>
    <row r="16" spans="1:11" ht="12.75">
      <c r="A16" s="3"/>
      <c r="B16" s="148"/>
      <c r="C16" s="194" t="s">
        <v>51</v>
      </c>
      <c r="D16" s="19" t="s">
        <v>99</v>
      </c>
      <c r="E16" s="292" t="e">
        <f>Summary!E14*E12*E10</f>
        <v>#DIV/0!</v>
      </c>
      <c r="F16" s="293" t="e">
        <f>Summary!F10*Summary!F12*Summary!F14</f>
        <v>#DIV/0!</v>
      </c>
      <c r="G16" s="182"/>
      <c r="H16" s="184"/>
      <c r="I16" s="149"/>
      <c r="J16" s="3"/>
      <c r="K16" s="3"/>
    </row>
    <row r="17" spans="1:11" ht="3.75" customHeight="1">
      <c r="A17" s="3"/>
      <c r="B17" s="148"/>
      <c r="C17" s="195"/>
      <c r="D17" s="282"/>
      <c r="E17" s="102"/>
      <c r="F17" s="196"/>
      <c r="G17" s="182"/>
      <c r="H17" s="184"/>
      <c r="I17" s="149"/>
      <c r="J17" s="3"/>
      <c r="K17" s="3"/>
    </row>
    <row r="18" spans="1:11" ht="12.75">
      <c r="A18" s="3"/>
      <c r="B18" s="148"/>
      <c r="C18" s="182"/>
      <c r="D18" s="182"/>
      <c r="E18" s="184"/>
      <c r="F18" s="182"/>
      <c r="G18" s="182"/>
      <c r="H18" s="182"/>
      <c r="I18" s="149"/>
      <c r="J18" s="3"/>
      <c r="K18" s="3"/>
    </row>
    <row r="19" spans="1:11" ht="15">
      <c r="A19" s="3"/>
      <c r="B19" s="148"/>
      <c r="C19" s="198" t="s">
        <v>129</v>
      </c>
      <c r="D19" s="199"/>
      <c r="E19" s="199"/>
      <c r="F19" s="200"/>
      <c r="G19" s="182"/>
      <c r="H19" s="182"/>
      <c r="I19" s="149"/>
      <c r="J19" s="3"/>
      <c r="K19" s="3"/>
    </row>
    <row r="20" spans="1:11" ht="3.75" customHeight="1">
      <c r="A20" s="3"/>
      <c r="B20" s="148"/>
      <c r="C20" s="190"/>
      <c r="D20" s="187"/>
      <c r="E20" s="187"/>
      <c r="F20" s="191"/>
      <c r="G20" s="182"/>
      <c r="H20" s="182"/>
      <c r="I20" s="149"/>
      <c r="J20" s="3"/>
      <c r="K20" s="3"/>
    </row>
    <row r="21" spans="1:11" ht="12.75">
      <c r="A21" s="3"/>
      <c r="B21" s="148"/>
      <c r="C21" s="201" t="s">
        <v>6</v>
      </c>
      <c r="D21" s="284" t="s">
        <v>99</v>
      </c>
      <c r="E21" s="205">
        <f>Inputs!$F$120*Inputs!$F$43</f>
        <v>0</v>
      </c>
      <c r="F21" s="206" t="s">
        <v>7</v>
      </c>
      <c r="G21" s="182"/>
      <c r="H21" s="185"/>
      <c r="I21" s="149"/>
      <c r="J21" s="3"/>
      <c r="K21" s="3"/>
    </row>
    <row r="22" spans="1:11" ht="6.75" customHeight="1">
      <c r="A22" s="3"/>
      <c r="B22" s="148"/>
      <c r="C22" s="201"/>
      <c r="D22" s="15"/>
      <c r="E22" s="205"/>
      <c r="F22" s="206"/>
      <c r="G22" s="182"/>
      <c r="H22" s="185"/>
      <c r="I22" s="149"/>
      <c r="J22" s="3"/>
      <c r="K22" s="3"/>
    </row>
    <row r="23" spans="1:11" ht="12.75">
      <c r="A23" s="3"/>
      <c r="B23" s="148"/>
      <c r="C23" s="201" t="s">
        <v>9</v>
      </c>
      <c r="D23" s="284" t="s">
        <v>99</v>
      </c>
      <c r="E23" s="295">
        <f>$E$21*Inputs!$F$112</f>
        <v>0</v>
      </c>
      <c r="F23" s="206"/>
      <c r="G23" s="182"/>
      <c r="H23" s="182"/>
      <c r="I23" s="149"/>
      <c r="J23" s="3"/>
      <c r="K23" s="3"/>
    </row>
    <row r="24" spans="1:11" ht="5.25" customHeight="1">
      <c r="A24" s="3"/>
      <c r="B24" s="148"/>
      <c r="C24" s="201"/>
      <c r="D24" s="15"/>
      <c r="E24" s="207"/>
      <c r="F24" s="206"/>
      <c r="G24" s="182"/>
      <c r="H24" s="182"/>
      <c r="I24" s="149"/>
      <c r="J24" s="3"/>
      <c r="K24" s="3"/>
    </row>
    <row r="25" spans="1:12" ht="12" customHeight="1">
      <c r="A25" s="3"/>
      <c r="B25" s="148"/>
      <c r="C25" s="201" t="s">
        <v>125</v>
      </c>
      <c r="D25" s="284" t="s">
        <v>99</v>
      </c>
      <c r="E25" s="205">
        <f>IF(Inputs!G57="m3/h",Inputs!F57*Inputs!F120,IF(Inputs!G57="g/h",Inputs!F57*Inputs!F120*'Fixed Data'!I10))</f>
        <v>0</v>
      </c>
      <c r="F25" s="206" t="s">
        <v>113</v>
      </c>
      <c r="G25" s="182"/>
      <c r="H25" s="182"/>
      <c r="I25" s="149"/>
      <c r="J25" s="3"/>
      <c r="K25" s="3"/>
      <c r="L25" s="155"/>
    </row>
    <row r="26" spans="1:12" ht="4.5" customHeight="1">
      <c r="A26" s="3"/>
      <c r="B26" s="148"/>
      <c r="C26" s="201"/>
      <c r="D26" s="15"/>
      <c r="E26" s="205"/>
      <c r="F26" s="206"/>
      <c r="G26" s="182"/>
      <c r="H26" s="182"/>
      <c r="I26" s="149"/>
      <c r="J26" s="3"/>
      <c r="K26" s="3"/>
      <c r="L26" s="155"/>
    </row>
    <row r="27" spans="1:11" ht="14.25">
      <c r="A27" s="3"/>
      <c r="B27" s="148"/>
      <c r="C27" s="201" t="s">
        <v>137</v>
      </c>
      <c r="D27" s="284" t="s">
        <v>99</v>
      </c>
      <c r="E27" s="205">
        <f>Inputs!F114*Summary!E21</f>
        <v>0</v>
      </c>
      <c r="F27" s="206" t="s">
        <v>71</v>
      </c>
      <c r="G27" s="182"/>
      <c r="H27" s="182"/>
      <c r="I27" s="149"/>
      <c r="J27" s="3"/>
      <c r="K27" s="3"/>
    </row>
    <row r="28" spans="1:11" ht="4.5" customHeight="1">
      <c r="A28" s="3"/>
      <c r="B28" s="148"/>
      <c r="C28" s="202"/>
      <c r="D28" s="215"/>
      <c r="E28" s="203"/>
      <c r="F28" s="204"/>
      <c r="G28" s="182"/>
      <c r="H28" s="182"/>
      <c r="I28" s="149"/>
      <c r="J28" s="3"/>
      <c r="K28" s="3"/>
    </row>
    <row r="29" spans="1:11" ht="4.5" customHeight="1">
      <c r="A29" s="3"/>
      <c r="B29" s="148"/>
      <c r="C29" s="15"/>
      <c r="D29" s="15"/>
      <c r="E29" s="31"/>
      <c r="F29" s="197"/>
      <c r="G29" s="182"/>
      <c r="H29" s="182"/>
      <c r="I29" s="149"/>
      <c r="J29" s="3"/>
      <c r="K29" s="3"/>
    </row>
    <row r="30" spans="1:11" ht="4.5" customHeight="1">
      <c r="A30" s="3"/>
      <c r="B30" s="148"/>
      <c r="C30" s="15"/>
      <c r="D30" s="15"/>
      <c r="E30" s="31"/>
      <c r="F30" s="197"/>
      <c r="G30" s="182"/>
      <c r="H30" s="182"/>
      <c r="I30" s="149"/>
      <c r="J30" s="3"/>
      <c r="K30" s="3"/>
    </row>
    <row r="31" spans="1:11" ht="15">
      <c r="A31" s="3"/>
      <c r="B31" s="148"/>
      <c r="C31" s="198" t="s">
        <v>130</v>
      </c>
      <c r="D31" s="199"/>
      <c r="E31" s="199"/>
      <c r="F31" s="199"/>
      <c r="G31" s="199"/>
      <c r="H31" s="200"/>
      <c r="I31" s="149"/>
      <c r="J31" s="3"/>
      <c r="K31" s="3"/>
    </row>
    <row r="32" spans="1:11" ht="4.5" customHeight="1">
      <c r="A32" s="3"/>
      <c r="B32" s="148"/>
      <c r="C32" s="190"/>
      <c r="D32" s="187"/>
      <c r="E32" s="187"/>
      <c r="F32" s="187"/>
      <c r="G32" s="187"/>
      <c r="H32" s="191"/>
      <c r="I32" s="149"/>
      <c r="J32" s="3"/>
      <c r="K32" s="3"/>
    </row>
    <row r="33" spans="1:11" s="124" customFormat="1" ht="27">
      <c r="A33" s="9"/>
      <c r="B33" s="150"/>
      <c r="C33" s="208"/>
      <c r="D33" s="16"/>
      <c r="E33" s="296" t="s">
        <v>58</v>
      </c>
      <c r="F33" s="296" t="s">
        <v>59</v>
      </c>
      <c r="G33" s="296" t="s">
        <v>126</v>
      </c>
      <c r="H33" s="297" t="s">
        <v>127</v>
      </c>
      <c r="I33" s="89"/>
      <c r="J33" s="9"/>
      <c r="K33" s="9"/>
    </row>
    <row r="34" spans="1:11" s="124" customFormat="1" ht="4.5" customHeight="1">
      <c r="A34" s="9"/>
      <c r="B34" s="150"/>
      <c r="C34" s="208"/>
      <c r="D34" s="16"/>
      <c r="E34" s="8"/>
      <c r="F34" s="8"/>
      <c r="G34" s="8"/>
      <c r="H34" s="209"/>
      <c r="I34" s="89"/>
      <c r="J34" s="9"/>
      <c r="K34" s="9"/>
    </row>
    <row r="35" spans="1:11" ht="15">
      <c r="A35" s="3"/>
      <c r="B35" s="148"/>
      <c r="C35" s="201" t="s">
        <v>52</v>
      </c>
      <c r="D35" s="284" t="s">
        <v>99</v>
      </c>
      <c r="E35" s="27">
        <f>1-Summary!E10</f>
        <v>1</v>
      </c>
      <c r="F35" s="27">
        <f>1-F10</f>
        <v>1</v>
      </c>
      <c r="G35" s="29">
        <f>E35*E$21</f>
        <v>0</v>
      </c>
      <c r="H35" s="294">
        <f>E35*E$21*AUP</f>
        <v>0</v>
      </c>
      <c r="I35" s="149"/>
      <c r="J35" s="3"/>
      <c r="K35" s="3"/>
    </row>
    <row r="36" spans="1:11" ht="5.25" customHeight="1">
      <c r="A36" s="3"/>
      <c r="B36" s="148"/>
      <c r="C36" s="201"/>
      <c r="D36" s="15"/>
      <c r="E36" s="27"/>
      <c r="F36" s="27"/>
      <c r="G36" s="29"/>
      <c r="H36" s="294"/>
      <c r="I36" s="149"/>
      <c r="J36" s="3"/>
      <c r="K36" s="3"/>
    </row>
    <row r="37" spans="1:11" ht="15">
      <c r="A37" s="3"/>
      <c r="B37" s="148"/>
      <c r="C37" s="201" t="s">
        <v>53</v>
      </c>
      <c r="D37" s="284" t="s">
        <v>99</v>
      </c>
      <c r="E37" s="27" t="e">
        <f>1-Summary!E12</f>
        <v>#VALUE!</v>
      </c>
      <c r="F37" s="26">
        <f>1-F12</f>
        <v>1</v>
      </c>
      <c r="G37" s="28" t="e">
        <f>(E21*Summary!E10)*(1-Summary!E12)</f>
        <v>#VALUE!</v>
      </c>
      <c r="H37" s="294" t="e">
        <f>E37*(E$21*Summary!E10)*AUP</f>
        <v>#VALUE!</v>
      </c>
      <c r="I37" s="149"/>
      <c r="J37" s="3"/>
      <c r="K37" s="3"/>
    </row>
    <row r="38" spans="1:11" ht="5.25" customHeight="1">
      <c r="A38" s="3"/>
      <c r="B38" s="148"/>
      <c r="C38" s="201"/>
      <c r="D38" s="15"/>
      <c r="E38" s="27"/>
      <c r="F38" s="26"/>
      <c r="G38" s="28"/>
      <c r="H38" s="294"/>
      <c r="I38" s="149"/>
      <c r="J38" s="3"/>
      <c r="K38" s="3"/>
    </row>
    <row r="39" spans="1:11" ht="15">
      <c r="A39" s="3"/>
      <c r="B39" s="148"/>
      <c r="C39" s="201" t="s">
        <v>54</v>
      </c>
      <c r="D39" s="284" t="s">
        <v>99</v>
      </c>
      <c r="E39" s="27" t="e">
        <f>1-Summary!E14</f>
        <v>#DIV/0!</v>
      </c>
      <c r="F39" s="26" t="e">
        <f>1-Summary!F14</f>
        <v>#DIV/0!</v>
      </c>
      <c r="G39" s="29" t="e">
        <f>(E21*Summary!E10*Summary!E12)*(1-Summary!E14)</f>
        <v>#VALUE!</v>
      </c>
      <c r="H39" s="294" t="e">
        <f>E39*(E$21*Summary!E10*Summary!E12)*AUP</f>
        <v>#DIV/0!</v>
      </c>
      <c r="I39" s="149"/>
      <c r="J39" s="3"/>
      <c r="K39" s="3"/>
    </row>
    <row r="40" spans="1:11" ht="4.5" customHeight="1">
      <c r="A40" s="3"/>
      <c r="B40" s="148"/>
      <c r="C40" s="201"/>
      <c r="D40" s="15"/>
      <c r="E40" s="27"/>
      <c r="F40" s="26"/>
      <c r="G40" s="29"/>
      <c r="H40" s="294"/>
      <c r="I40" s="149"/>
      <c r="J40" s="3"/>
      <c r="K40" s="3"/>
    </row>
    <row r="41" spans="1:11" ht="15">
      <c r="A41" s="3"/>
      <c r="B41" s="148"/>
      <c r="C41" s="201" t="s">
        <v>55</v>
      </c>
      <c r="D41" s="284" t="s">
        <v>99</v>
      </c>
      <c r="E41" s="27" t="e">
        <f>1-Summary!E16</f>
        <v>#DIV/0!</v>
      </c>
      <c r="F41" s="27" t="e">
        <f>1-Summary!F16</f>
        <v>#DIV/0!</v>
      </c>
      <c r="G41" s="29" t="e">
        <f>(E41*E$21)</f>
        <v>#DIV/0!</v>
      </c>
      <c r="H41" s="294" t="e">
        <f>E41*E$21*AUP</f>
        <v>#DIV/0!</v>
      </c>
      <c r="I41" s="149"/>
      <c r="J41" s="3"/>
      <c r="K41" s="3"/>
    </row>
    <row r="42" spans="1:11" ht="19.5" customHeight="1">
      <c r="A42" s="3"/>
      <c r="B42" s="148"/>
      <c r="C42" s="201"/>
      <c r="D42" s="284"/>
      <c r="E42" s="27"/>
      <c r="F42" s="27"/>
      <c r="G42" s="29"/>
      <c r="H42" s="294"/>
      <c r="I42" s="149"/>
      <c r="J42" s="3"/>
      <c r="K42" s="3"/>
    </row>
    <row r="43" spans="1:11" ht="15">
      <c r="A43" s="3"/>
      <c r="B43" s="148"/>
      <c r="C43" s="201" t="s">
        <v>75</v>
      </c>
      <c r="D43" s="284" t="s">
        <v>99</v>
      </c>
      <c r="E43" s="27" t="e">
        <f>Summary!E16</f>
        <v>#DIV/0!</v>
      </c>
      <c r="F43" s="27" t="e">
        <f>F16</f>
        <v>#DIV/0!</v>
      </c>
      <c r="G43" s="29" t="e">
        <f>E21*E43</f>
        <v>#DIV/0!</v>
      </c>
      <c r="H43" s="294" t="e">
        <f>E43*AUP*E$21</f>
        <v>#DIV/0!</v>
      </c>
      <c r="I43" s="149"/>
      <c r="J43" s="3"/>
      <c r="K43" s="3"/>
    </row>
    <row r="44" spans="1:11" ht="4.5" customHeight="1">
      <c r="A44" s="3"/>
      <c r="B44" s="148"/>
      <c r="C44" s="210"/>
      <c r="D44" s="283"/>
      <c r="E44" s="211"/>
      <c r="F44" s="211"/>
      <c r="G44" s="212"/>
      <c r="H44" s="213"/>
      <c r="I44" s="149"/>
      <c r="J44" s="3"/>
      <c r="K44" s="3"/>
    </row>
    <row r="45" spans="2:16" s="3" customFormat="1" ht="7.5" customHeight="1">
      <c r="B45" s="148"/>
      <c r="C45" s="7"/>
      <c r="D45" s="7"/>
      <c r="E45" s="7"/>
      <c r="F45" s="7"/>
      <c r="G45" s="7"/>
      <c r="H45" s="7"/>
      <c r="I45" s="149"/>
      <c r="L45" s="154"/>
      <c r="M45" s="154"/>
      <c r="N45" s="154"/>
      <c r="O45" s="154"/>
      <c r="P45" s="154"/>
    </row>
    <row r="46" spans="1:11" ht="7.5" customHeight="1">
      <c r="A46" s="3"/>
      <c r="B46" s="148"/>
      <c r="C46" s="182"/>
      <c r="D46" s="182"/>
      <c r="E46" s="186"/>
      <c r="F46" s="182"/>
      <c r="G46" s="185"/>
      <c r="H46" s="185"/>
      <c r="I46" s="149"/>
      <c r="J46" s="3"/>
      <c r="K46" s="3"/>
    </row>
    <row r="47" spans="1:11" ht="15">
      <c r="A47" s="3"/>
      <c r="B47" s="148"/>
      <c r="C47" s="198" t="s">
        <v>131</v>
      </c>
      <c r="D47" s="199"/>
      <c r="E47" s="199"/>
      <c r="F47" s="199"/>
      <c r="G47" s="199"/>
      <c r="H47" s="200"/>
      <c r="I47" s="149"/>
      <c r="J47" s="3"/>
      <c r="K47" s="3"/>
    </row>
    <row r="48" spans="1:11" ht="4.5" customHeight="1">
      <c r="A48" s="3"/>
      <c r="B48" s="148"/>
      <c r="C48" s="190"/>
      <c r="D48" s="187"/>
      <c r="E48" s="187"/>
      <c r="F48" s="187"/>
      <c r="G48" s="187"/>
      <c r="H48" s="191"/>
      <c r="I48" s="149"/>
      <c r="J48" s="3"/>
      <c r="K48" s="3"/>
    </row>
    <row r="49" spans="1:11" ht="15">
      <c r="A49" s="3"/>
      <c r="B49" s="148"/>
      <c r="C49" s="300" t="e">
        <f>E21/Summary!E25</f>
        <v>#DIV/0!</v>
      </c>
      <c r="D49" s="301"/>
      <c r="E49" s="15" t="s">
        <v>86</v>
      </c>
      <c r="F49" s="7"/>
      <c r="G49" s="302" t="e">
        <f>Summary!C49*1000/(Inputs!F$51+Inputs!F$53)</f>
        <v>#DIV/0!</v>
      </c>
      <c r="H49" s="214" t="s">
        <v>114</v>
      </c>
      <c r="I49" s="149"/>
      <c r="J49" s="3"/>
      <c r="K49" s="3"/>
    </row>
    <row r="50" spans="1:11" ht="4.5" customHeight="1">
      <c r="A50" s="3"/>
      <c r="B50" s="148"/>
      <c r="C50" s="300"/>
      <c r="D50" s="301"/>
      <c r="E50" s="15"/>
      <c r="F50" s="7"/>
      <c r="G50" s="302"/>
      <c r="H50" s="214"/>
      <c r="I50" s="149"/>
      <c r="J50" s="3"/>
      <c r="K50" s="3"/>
    </row>
    <row r="51" spans="1:11" ht="15">
      <c r="A51" s="3"/>
      <c r="B51" s="148"/>
      <c r="C51" s="300" t="e">
        <f>E23/Summary!E25</f>
        <v>#DIV/0!</v>
      </c>
      <c r="D51" s="301"/>
      <c r="E51" s="15" t="s">
        <v>115</v>
      </c>
      <c r="F51" s="7"/>
      <c r="G51" s="302" t="e">
        <f>Summary!C51*1000/(Inputs!F$51+Inputs!F$53)</f>
        <v>#DIV/0!</v>
      </c>
      <c r="H51" s="214" t="s">
        <v>116</v>
      </c>
      <c r="I51" s="149"/>
      <c r="J51" s="3"/>
      <c r="K51" s="3"/>
    </row>
    <row r="52" spans="1:11" ht="3.75" customHeight="1">
      <c r="A52" s="3"/>
      <c r="B52" s="148"/>
      <c r="C52" s="300"/>
      <c r="D52" s="301"/>
      <c r="E52" s="15"/>
      <c r="F52" s="7"/>
      <c r="G52" s="302"/>
      <c r="H52" s="214"/>
      <c r="I52" s="149"/>
      <c r="J52" s="3"/>
      <c r="K52" s="3"/>
    </row>
    <row r="53" spans="1:11" ht="15.75">
      <c r="A53" s="3"/>
      <c r="B53" s="148"/>
      <c r="C53" s="300" t="e">
        <f>C49*Emission_Factor</f>
        <v>#DIV/0!</v>
      </c>
      <c r="D53" s="301"/>
      <c r="E53" s="15" t="s">
        <v>117</v>
      </c>
      <c r="F53" s="7"/>
      <c r="G53" s="302" t="e">
        <f>Summary!C53*1000/(Inputs!F$51+Inputs!F$53)</f>
        <v>#DIV/0!</v>
      </c>
      <c r="H53" s="214" t="s">
        <v>138</v>
      </c>
      <c r="I53" s="149"/>
      <c r="J53" s="3"/>
      <c r="K53" s="3"/>
    </row>
    <row r="54" spans="1:11" ht="3" customHeight="1">
      <c r="A54" s="3"/>
      <c r="B54" s="148"/>
      <c r="C54" s="303"/>
      <c r="D54" s="304"/>
      <c r="E54" s="215"/>
      <c r="F54" s="216"/>
      <c r="G54" s="304"/>
      <c r="H54" s="217"/>
      <c r="I54" s="149"/>
      <c r="J54" s="3"/>
      <c r="K54" s="3"/>
    </row>
    <row r="55" spans="1:11" ht="13.5" thickBot="1">
      <c r="A55" s="3"/>
      <c r="B55" s="151"/>
      <c r="C55" s="152"/>
      <c r="D55" s="152"/>
      <c r="E55" s="152"/>
      <c r="F55" s="152"/>
      <c r="G55" s="152"/>
      <c r="H55" s="152"/>
      <c r="I55" s="153"/>
      <c r="J55" s="3"/>
      <c r="K55" s="3"/>
    </row>
    <row r="56" spans="1:11" s="117" customFormat="1" ht="73.5" customHeight="1">
      <c r="A56" s="11"/>
      <c r="B56" s="412" t="s">
        <v>300</v>
      </c>
      <c r="C56" s="413"/>
      <c r="D56" s="413"/>
      <c r="E56" s="413"/>
      <c r="F56" s="413"/>
      <c r="G56" s="413"/>
      <c r="H56" s="413"/>
      <c r="I56" s="413"/>
      <c r="J56" s="11"/>
      <c r="K56" s="11"/>
    </row>
    <row r="57" ht="12.75">
      <c r="E57" s="157"/>
    </row>
  </sheetData>
  <sheetProtection sheet="1"/>
  <mergeCells count="1">
    <mergeCell ref="B56:I5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sheetPr>
    <tabColor rgb="FF008080"/>
    <pageSetUpPr fitToPage="1"/>
  </sheetPr>
  <dimension ref="A1:N55"/>
  <sheetViews>
    <sheetView zoomScaleSheetLayoutView="100" zoomScalePageLayoutView="0" workbookViewId="0" topLeftCell="A1">
      <selection activeCell="A1" sqref="A1"/>
    </sheetView>
  </sheetViews>
  <sheetFormatPr defaultColWidth="9.140625" defaultRowHeight="15"/>
  <cols>
    <col min="1" max="1" width="1.28515625" style="248" customWidth="1"/>
    <col min="2" max="2" width="0.85546875" style="248" customWidth="1"/>
    <col min="3" max="3" width="26.57421875" style="248" customWidth="1"/>
    <col min="4" max="4" width="3.140625" style="248" customWidth="1"/>
    <col min="5" max="5" width="19.00390625" style="248" customWidth="1"/>
    <col min="6" max="6" width="11.28125" style="248" customWidth="1"/>
    <col min="7" max="7" width="2.8515625" style="248" customWidth="1"/>
    <col min="8" max="8" width="12.140625" style="248" customWidth="1"/>
    <col min="9" max="9" width="4.00390625" style="248" customWidth="1"/>
    <col min="10" max="10" width="13.57421875" style="248" customWidth="1"/>
    <col min="11" max="11" width="1.421875" style="248" customWidth="1"/>
    <col min="12" max="12" width="1.1484375" style="248" customWidth="1"/>
    <col min="13" max="13" width="1.421875" style="248" customWidth="1"/>
    <col min="14" max="14" width="0.9921875" style="248" customWidth="1"/>
    <col min="15" max="15" width="5.8515625" style="248" bestFit="1" customWidth="1"/>
    <col min="16" max="16" width="6.00390625" style="248" bestFit="1" customWidth="1"/>
    <col min="17" max="17" width="11.140625" style="248" bestFit="1" customWidth="1"/>
    <col min="18" max="18" width="4.57421875" style="248" bestFit="1" customWidth="1"/>
    <col min="19" max="16384" width="9.140625" style="248" customWidth="1"/>
  </cols>
  <sheetData>
    <row r="1" spans="1:14" ht="10.5" customHeight="1" thickBot="1">
      <c r="A1" s="2"/>
      <c r="B1" s="2"/>
      <c r="C1" s="2"/>
      <c r="D1" s="2"/>
      <c r="E1" s="2"/>
      <c r="F1" s="2"/>
      <c r="G1" s="2"/>
      <c r="H1" s="2"/>
      <c r="I1" s="2"/>
      <c r="J1" s="2"/>
      <c r="K1" s="2"/>
      <c r="L1" s="2"/>
      <c r="M1" s="2"/>
      <c r="N1" s="2"/>
    </row>
    <row r="2" spans="1:14" ht="8.25" customHeight="1">
      <c r="A2" s="2"/>
      <c r="B2" s="218"/>
      <c r="C2" s="219"/>
      <c r="D2" s="219"/>
      <c r="E2" s="219"/>
      <c r="F2" s="219"/>
      <c r="G2" s="219"/>
      <c r="H2" s="219"/>
      <c r="I2" s="219"/>
      <c r="J2" s="219"/>
      <c r="K2" s="219"/>
      <c r="L2" s="220"/>
      <c r="M2" s="5"/>
      <c r="N2" s="2"/>
    </row>
    <row r="3" spans="1:14" ht="23.25">
      <c r="A3" s="2"/>
      <c r="B3" s="221"/>
      <c r="C3" s="132" t="s">
        <v>100</v>
      </c>
      <c r="D3" s="132"/>
      <c r="E3" s="5"/>
      <c r="F3" s="5"/>
      <c r="G3" s="5"/>
      <c r="H3" s="5"/>
      <c r="I3" s="5"/>
      <c r="J3" s="5"/>
      <c r="K3" s="5"/>
      <c r="L3" s="222"/>
      <c r="M3" s="5"/>
      <c r="N3" s="2"/>
    </row>
    <row r="4" spans="1:14" ht="28.5" customHeight="1">
      <c r="A4" s="2"/>
      <c r="B4" s="221"/>
      <c r="C4" s="281" t="s">
        <v>124</v>
      </c>
      <c r="D4" s="5"/>
      <c r="E4" s="5"/>
      <c r="F4" s="5"/>
      <c r="G4" s="5"/>
      <c r="H4" s="5"/>
      <c r="I4" s="5"/>
      <c r="J4" s="5"/>
      <c r="K4" s="5"/>
      <c r="L4" s="222"/>
      <c r="M4" s="5"/>
      <c r="N4" s="2"/>
    </row>
    <row r="5" spans="1:14" ht="15">
      <c r="A5" s="2"/>
      <c r="B5" s="221"/>
      <c r="C5" s="5"/>
      <c r="D5" s="5"/>
      <c r="E5" s="5"/>
      <c r="F5" s="5"/>
      <c r="G5" s="5"/>
      <c r="H5" s="5"/>
      <c r="I5" s="5"/>
      <c r="J5" s="5"/>
      <c r="K5" s="5"/>
      <c r="L5" s="222"/>
      <c r="M5" s="5"/>
      <c r="N5" s="2"/>
    </row>
    <row r="6" spans="1:14" ht="15">
      <c r="A6" s="2"/>
      <c r="B6" s="221"/>
      <c r="C6" s="135" t="s">
        <v>118</v>
      </c>
      <c r="D6" s="135" t="s">
        <v>99</v>
      </c>
      <c r="E6" s="4">
        <f>Inputs!F6</f>
        <v>0</v>
      </c>
      <c r="F6" s="5"/>
      <c r="G6" s="5"/>
      <c r="H6" s="5"/>
      <c r="I6" s="5"/>
      <c r="J6" s="5"/>
      <c r="K6" s="5"/>
      <c r="L6" s="222"/>
      <c r="M6" s="5"/>
      <c r="N6" s="2"/>
    </row>
    <row r="7" spans="1:14" ht="15">
      <c r="A7" s="2"/>
      <c r="B7" s="221"/>
      <c r="C7" s="135" t="s">
        <v>102</v>
      </c>
      <c r="D7" s="135" t="s">
        <v>99</v>
      </c>
      <c r="E7" s="4">
        <f>Inputs!F8</f>
        <v>0</v>
      </c>
      <c r="F7" s="5"/>
      <c r="G7" s="5"/>
      <c r="H7" s="5"/>
      <c r="I7" s="5"/>
      <c r="J7" s="5"/>
      <c r="K7" s="5"/>
      <c r="L7" s="222"/>
      <c r="M7" s="5"/>
      <c r="N7" s="2"/>
    </row>
    <row r="8" spans="1:14" ht="15">
      <c r="A8" s="2"/>
      <c r="B8" s="221"/>
      <c r="C8" s="135" t="s">
        <v>119</v>
      </c>
      <c r="D8" s="135" t="s">
        <v>99</v>
      </c>
      <c r="E8" s="391"/>
      <c r="F8" s="5"/>
      <c r="G8" s="5"/>
      <c r="H8" s="198" t="s">
        <v>133</v>
      </c>
      <c r="I8" s="199"/>
      <c r="J8" s="200"/>
      <c r="K8" s="5"/>
      <c r="L8" s="222"/>
      <c r="M8" s="5"/>
      <c r="N8" s="2"/>
    </row>
    <row r="9" spans="1:14" ht="15">
      <c r="A9" s="2"/>
      <c r="B9" s="221"/>
      <c r="C9" s="135" t="s">
        <v>120</v>
      </c>
      <c r="D9" s="135" t="s">
        <v>99</v>
      </c>
      <c r="E9" s="392" t="str">
        <f>IF(E8="","-",E8+365)</f>
        <v>-</v>
      </c>
      <c r="F9" s="5"/>
      <c r="G9" s="5"/>
      <c r="H9" s="194" t="s">
        <v>43</v>
      </c>
      <c r="I9" s="8"/>
      <c r="J9" s="286" t="e">
        <f>Summary!C49</f>
        <v>#DIV/0!</v>
      </c>
      <c r="K9" s="5"/>
      <c r="L9" s="222"/>
      <c r="M9" s="5"/>
      <c r="N9" s="2"/>
    </row>
    <row r="10" spans="1:14" ht="15">
      <c r="A10" s="2"/>
      <c r="B10" s="221"/>
      <c r="C10" s="135"/>
      <c r="D10" s="135"/>
      <c r="E10" s="6"/>
      <c r="F10" s="5"/>
      <c r="G10" s="5"/>
      <c r="H10" s="194" t="s">
        <v>76</v>
      </c>
      <c r="I10" s="8"/>
      <c r="J10" s="286" t="e">
        <f>Summary!G49</f>
        <v>#DIV/0!</v>
      </c>
      <c r="K10" s="5"/>
      <c r="L10" s="222"/>
      <c r="M10" s="5"/>
      <c r="N10" s="2"/>
    </row>
    <row r="11" spans="1:14" ht="18">
      <c r="A11" s="2"/>
      <c r="B11" s="221"/>
      <c r="C11" s="198" t="s">
        <v>134</v>
      </c>
      <c r="D11" s="199"/>
      <c r="E11" s="199"/>
      <c r="F11" s="200"/>
      <c r="G11" s="5"/>
      <c r="H11" s="194" t="s">
        <v>77</v>
      </c>
      <c r="I11" s="8"/>
      <c r="J11" s="396" t="e">
        <f>Summary!C51</f>
        <v>#DIV/0!</v>
      </c>
      <c r="K11" s="5"/>
      <c r="L11" s="222"/>
      <c r="M11" s="5"/>
      <c r="N11" s="2"/>
    </row>
    <row r="12" spans="1:14" ht="15">
      <c r="A12" s="2"/>
      <c r="B12" s="221"/>
      <c r="C12" s="194" t="s">
        <v>61</v>
      </c>
      <c r="D12" s="19"/>
      <c r="E12" s="205">
        <f>Summary!E21</f>
        <v>0</v>
      </c>
      <c r="F12" s="206" t="s">
        <v>7</v>
      </c>
      <c r="G12" s="5"/>
      <c r="H12" s="194" t="s">
        <v>82</v>
      </c>
      <c r="I12" s="8"/>
      <c r="J12" s="286" t="e">
        <f>J10*AUP</f>
        <v>#DIV/0!</v>
      </c>
      <c r="K12" s="5"/>
      <c r="L12" s="222"/>
      <c r="M12" s="5"/>
      <c r="N12" s="2"/>
    </row>
    <row r="13" spans="1:14" ht="15">
      <c r="A13" s="2"/>
      <c r="B13" s="221"/>
      <c r="C13" s="194" t="s">
        <v>60</v>
      </c>
      <c r="D13" s="19"/>
      <c r="E13" s="295">
        <f>Summary!E23</f>
        <v>0</v>
      </c>
      <c r="F13" s="206"/>
      <c r="G13" s="5"/>
      <c r="H13" s="194" t="s">
        <v>78</v>
      </c>
      <c r="I13" s="8"/>
      <c r="J13" s="286" t="e">
        <f>Summary!C53</f>
        <v>#DIV/0!</v>
      </c>
      <c r="K13" s="5"/>
      <c r="L13" s="222"/>
      <c r="M13" s="5"/>
      <c r="N13" s="2"/>
    </row>
    <row r="14" spans="1:14" ht="15">
      <c r="A14" s="2"/>
      <c r="B14" s="221"/>
      <c r="C14" s="228" t="s">
        <v>140</v>
      </c>
      <c r="D14" s="229"/>
      <c r="E14" s="305">
        <f>Summary!E27</f>
        <v>0</v>
      </c>
      <c r="F14" s="230" t="s">
        <v>141</v>
      </c>
      <c r="G14" s="7"/>
      <c r="H14" s="228" t="s">
        <v>139</v>
      </c>
      <c r="I14" s="231"/>
      <c r="J14" s="287" t="e">
        <f>Summary!G53</f>
        <v>#DIV/0!</v>
      </c>
      <c r="K14" s="5"/>
      <c r="L14" s="222"/>
      <c r="M14" s="5"/>
      <c r="N14" s="2"/>
    </row>
    <row r="15" spans="1:14" ht="7.5" customHeight="1">
      <c r="A15" s="2"/>
      <c r="B15" s="221"/>
      <c r="C15" s="8"/>
      <c r="D15" s="8"/>
      <c r="E15" s="31"/>
      <c r="F15" s="7"/>
      <c r="G15" s="7"/>
      <c r="H15" s="8"/>
      <c r="I15" s="8"/>
      <c r="J15" s="32"/>
      <c r="K15" s="5"/>
      <c r="L15" s="222"/>
      <c r="M15" s="5"/>
      <c r="N15" s="2"/>
    </row>
    <row r="16" spans="1:14" ht="13.5" customHeight="1">
      <c r="A16" s="2"/>
      <c r="B16" s="221"/>
      <c r="C16" s="188" t="s">
        <v>132</v>
      </c>
      <c r="D16" s="188"/>
      <c r="E16" s="188"/>
      <c r="F16" s="188"/>
      <c r="G16" s="188"/>
      <c r="H16" s="188"/>
      <c r="I16" s="188"/>
      <c r="J16" s="188"/>
      <c r="K16" s="226"/>
      <c r="L16" s="222"/>
      <c r="M16" s="5"/>
      <c r="N16" s="2"/>
    </row>
    <row r="17" spans="1:14" ht="27.75">
      <c r="A17" s="2"/>
      <c r="B17" s="221"/>
      <c r="C17" s="232"/>
      <c r="D17" s="5"/>
      <c r="E17" s="5"/>
      <c r="F17" s="298" t="s">
        <v>72</v>
      </c>
      <c r="G17" s="298"/>
      <c r="H17" s="298" t="s">
        <v>79</v>
      </c>
      <c r="I17" s="298"/>
      <c r="J17" s="298" t="s">
        <v>85</v>
      </c>
      <c r="K17" s="227"/>
      <c r="L17" s="222"/>
      <c r="M17" s="5"/>
      <c r="N17" s="2"/>
    </row>
    <row r="18" spans="1:14" ht="15">
      <c r="A18" s="2"/>
      <c r="B18" s="221"/>
      <c r="C18" s="232"/>
      <c r="D18" s="5"/>
      <c r="E18" s="5"/>
      <c r="F18" s="19"/>
      <c r="G18" s="19"/>
      <c r="H18" s="19"/>
      <c r="I18" s="19"/>
      <c r="J18" s="19"/>
      <c r="K18" s="227"/>
      <c r="L18" s="222"/>
      <c r="M18" s="5"/>
      <c r="N18" s="2"/>
    </row>
    <row r="19" spans="1:14" ht="18.75">
      <c r="A19" s="2"/>
      <c r="B19" s="221"/>
      <c r="C19" s="232"/>
      <c r="D19" s="5"/>
      <c r="E19" s="5"/>
      <c r="F19" s="237" t="e">
        <f>IF(Summary!$E$16&gt;='Fixed Data'!$L$2,Summary!$E$16,"")</f>
        <v>#DIV/0!</v>
      </c>
      <c r="G19" s="30"/>
      <c r="H19" s="237" t="e">
        <f>IF(Summary!$E$16&gt;='Fixed Data'!$L$2,Summary!$E$12,"")</f>
        <v>#DIV/0!</v>
      </c>
      <c r="I19" s="241"/>
      <c r="J19" s="240" t="e">
        <f>IF(Summary!$E$16&gt;='Fixed Data'!$L$2,Summary!$G$49,"")</f>
        <v>#DIV/0!</v>
      </c>
      <c r="K19" s="227"/>
      <c r="L19" s="222"/>
      <c r="M19" s="5"/>
      <c r="N19" s="2"/>
    </row>
    <row r="20" spans="1:14" ht="18.75">
      <c r="A20" s="2"/>
      <c r="B20" s="221"/>
      <c r="C20" s="232"/>
      <c r="D20" s="5"/>
      <c r="E20" s="5"/>
      <c r="F20" s="238"/>
      <c r="G20" s="25"/>
      <c r="H20" s="237"/>
      <c r="I20" s="242"/>
      <c r="J20" s="240"/>
      <c r="K20" s="227"/>
      <c r="L20" s="222"/>
      <c r="M20" s="5"/>
      <c r="N20" s="2"/>
    </row>
    <row r="21" spans="1:14" ht="18.75">
      <c r="A21" s="2"/>
      <c r="B21" s="221"/>
      <c r="C21" s="232"/>
      <c r="D21" s="5"/>
      <c r="E21" s="5"/>
      <c r="F21" s="237" t="e">
        <f>IF(Summary!E16&gt;='Fixed Data'!L3,IF(Summary!E16&lt;'Fixed Data'!L2,Summary!E16,""),"")</f>
        <v>#DIV/0!</v>
      </c>
      <c r="G21" s="30"/>
      <c r="H21" s="237" t="e">
        <f>IF(Summary!E16&gt;='Fixed Data'!L3,IF(Summary!E16&lt;'Fixed Data'!L2,Summary!E12,""),"")</f>
        <v>#DIV/0!</v>
      </c>
      <c r="I21" s="242"/>
      <c r="J21" s="332" t="e">
        <f>IF(Summary!E16&gt;='Fixed Data'!L3,IF(Summary!E16&lt;'Fixed Data'!L2,Summary!G49,""),"")</f>
        <v>#DIV/0!</v>
      </c>
      <c r="K21" s="227"/>
      <c r="L21" s="222"/>
      <c r="M21" s="5"/>
      <c r="N21" s="2"/>
    </row>
    <row r="22" spans="1:14" ht="18.75">
      <c r="A22" s="2"/>
      <c r="B22" s="221"/>
      <c r="C22" s="232"/>
      <c r="D22" s="5"/>
      <c r="E22" s="5"/>
      <c r="F22" s="238"/>
      <c r="G22" s="25"/>
      <c r="H22" s="237"/>
      <c r="I22" s="242"/>
      <c r="J22" s="240"/>
      <c r="K22" s="227"/>
      <c r="L22" s="222"/>
      <c r="M22" s="5"/>
      <c r="N22" s="2"/>
    </row>
    <row r="23" spans="1:14" ht="18.75">
      <c r="A23" s="2"/>
      <c r="B23" s="221"/>
      <c r="C23" s="232"/>
      <c r="D23" s="5"/>
      <c r="E23" s="5"/>
      <c r="F23" s="239" t="e">
        <f>IF(Summary!E16&gt;='Fixed Data'!L4,IF(Summary!E16&lt;'Fixed Data'!L3,Summary!E16,""),"")</f>
        <v>#DIV/0!</v>
      </c>
      <c r="G23" s="30"/>
      <c r="H23" s="237" t="e">
        <f>IF(Summary!E16&gt;='Fixed Data'!L4,IF(Summary!E16&lt;'Fixed Data'!L3,Summary!E12,""),"")</f>
        <v>#DIV/0!</v>
      </c>
      <c r="I23" s="242"/>
      <c r="J23" s="240" t="e">
        <f>IF(Summary!E16&gt;='Fixed Data'!L4,IF(Summary!E16&lt;'Fixed Data'!L3,Summary!G49,""),"")</f>
        <v>#DIV/0!</v>
      </c>
      <c r="K23" s="227"/>
      <c r="L23" s="222"/>
      <c r="M23" s="5"/>
      <c r="N23" s="2"/>
    </row>
    <row r="24" spans="1:14" ht="18.75">
      <c r="A24" s="2"/>
      <c r="B24" s="221"/>
      <c r="C24" s="232"/>
      <c r="D24" s="5"/>
      <c r="E24" s="5"/>
      <c r="F24" s="238"/>
      <c r="G24" s="25"/>
      <c r="H24" s="237"/>
      <c r="I24" s="242"/>
      <c r="J24" s="240"/>
      <c r="K24" s="227"/>
      <c r="L24" s="222"/>
      <c r="M24" s="5"/>
      <c r="N24" s="2"/>
    </row>
    <row r="25" spans="1:14" ht="18.75">
      <c r="A25" s="2"/>
      <c r="B25" s="221"/>
      <c r="C25" s="232"/>
      <c r="D25" s="5"/>
      <c r="E25" s="5"/>
      <c r="F25" s="237" t="e">
        <f>IF(Summary!E16&gt;='Fixed Data'!L5,IF(Summary!E16&lt;'Fixed Data'!L4,Summary!E16,""),"")</f>
        <v>#DIV/0!</v>
      </c>
      <c r="G25" s="30"/>
      <c r="H25" s="237" t="e">
        <f>IF(Summary!E16&gt;='Fixed Data'!L5,IF(Summary!E16&lt;'Fixed Data'!L4,Summary!E12,""),"")</f>
        <v>#DIV/0!</v>
      </c>
      <c r="I25" s="243"/>
      <c r="J25" s="240" t="e">
        <f>IF(Summary!E16&gt;='Fixed Data'!L5,IF(Summary!E16&lt;'Fixed Data'!L4,Summary!G49,""),"")</f>
        <v>#DIV/0!</v>
      </c>
      <c r="K25" s="227"/>
      <c r="L25" s="222"/>
      <c r="M25" s="5"/>
      <c r="N25" s="2"/>
    </row>
    <row r="26" spans="1:14" ht="18.75">
      <c r="A26" s="2"/>
      <c r="B26" s="221"/>
      <c r="C26" s="232"/>
      <c r="D26" s="5"/>
      <c r="E26" s="5"/>
      <c r="F26" s="238"/>
      <c r="G26" s="25"/>
      <c r="H26" s="237"/>
      <c r="I26" s="244"/>
      <c r="J26" s="240"/>
      <c r="K26" s="227"/>
      <c r="L26" s="222"/>
      <c r="M26" s="5"/>
      <c r="N26" s="2"/>
    </row>
    <row r="27" spans="1:14" ht="18.75">
      <c r="A27" s="2"/>
      <c r="B27" s="221"/>
      <c r="C27" s="232"/>
      <c r="D27" s="5"/>
      <c r="E27" s="5"/>
      <c r="F27" s="237" t="e">
        <f>IF(Summary!E16&gt;='Fixed Data'!L6,IF(Summary!E16&lt;'Fixed Data'!L5,Summary!E16,""),"")</f>
        <v>#DIV/0!</v>
      </c>
      <c r="G27" s="30"/>
      <c r="H27" s="237" t="e">
        <f>IF(Summary!E16&gt;='Fixed Data'!L6,IF(Summary!E16&lt;'Fixed Data'!L5,Summary!E12,""),"")</f>
        <v>#DIV/0!</v>
      </c>
      <c r="I27" s="245"/>
      <c r="J27" s="240" t="e">
        <f>IF(Summary!E16&gt;='Fixed Data'!L6,IF(Summary!E16&lt;'Fixed Data'!L5,Summary!G49,""),"")</f>
        <v>#DIV/0!</v>
      </c>
      <c r="K27" s="227"/>
      <c r="L27" s="222"/>
      <c r="M27" s="5"/>
      <c r="N27" s="2"/>
    </row>
    <row r="28" spans="1:14" ht="18.75">
      <c r="A28" s="2"/>
      <c r="B28" s="221"/>
      <c r="C28" s="232"/>
      <c r="D28" s="5"/>
      <c r="E28" s="5"/>
      <c r="F28" s="238"/>
      <c r="G28" s="25"/>
      <c r="H28" s="237"/>
      <c r="I28" s="244"/>
      <c r="J28" s="240"/>
      <c r="K28" s="227"/>
      <c r="L28" s="222"/>
      <c r="M28" s="5"/>
      <c r="N28" s="2"/>
    </row>
    <row r="29" spans="1:14" ht="18.75">
      <c r="A29" s="2"/>
      <c r="B29" s="221"/>
      <c r="C29" s="232"/>
      <c r="D29" s="5"/>
      <c r="E29" s="5"/>
      <c r="F29" s="237" t="e">
        <f>IF(Summary!E16&gt;='Fixed Data'!L7,IF(Summary!E16&lt;'Fixed Data'!L6,Summary!E16,""),"")</f>
        <v>#DIV/0!</v>
      </c>
      <c r="G29" s="30"/>
      <c r="H29" s="237" t="e">
        <f>IF(Summary!E16&gt;='Fixed Data'!L7,IF(Summary!E16&lt;'Fixed Data'!L6,Summary!E12,""),"")</f>
        <v>#DIV/0!</v>
      </c>
      <c r="I29" s="245"/>
      <c r="J29" s="240" t="e">
        <f>IF(Summary!E16&gt;='Fixed Data'!L7,IF(Summary!E16&lt;'Fixed Data'!L6,Summary!G49,""),"")</f>
        <v>#DIV/0!</v>
      </c>
      <c r="K29" s="227"/>
      <c r="L29" s="222"/>
      <c r="M29" s="5"/>
      <c r="N29" s="2"/>
    </row>
    <row r="30" spans="1:14" ht="18.75">
      <c r="A30" s="2"/>
      <c r="B30" s="221"/>
      <c r="C30" s="232"/>
      <c r="D30" s="5"/>
      <c r="E30" s="5"/>
      <c r="F30" s="238"/>
      <c r="G30" s="25"/>
      <c r="H30" s="237"/>
      <c r="I30" s="244"/>
      <c r="J30" s="240"/>
      <c r="K30" s="227"/>
      <c r="L30" s="222"/>
      <c r="M30" s="5"/>
      <c r="N30" s="2"/>
    </row>
    <row r="31" spans="1:14" ht="18.75">
      <c r="A31" s="2"/>
      <c r="B31" s="221"/>
      <c r="C31" s="232"/>
      <c r="D31" s="5"/>
      <c r="E31" s="5"/>
      <c r="F31" s="237" t="e">
        <f>IF(Summary!E16&lt;'Fixed Data'!$L$8,Summary!E16,"")</f>
        <v>#DIV/0!</v>
      </c>
      <c r="G31" s="30"/>
      <c r="H31" s="237" t="e">
        <f>IF(Summary!E16&lt;'Fixed Data'!$L$8,Summary!E12,"")</f>
        <v>#DIV/0!</v>
      </c>
      <c r="I31" s="245"/>
      <c r="J31" s="240" t="e">
        <f>IF(Summary!E16&lt;'Fixed Data'!$L$8,Summary!G49,"")</f>
        <v>#DIV/0!</v>
      </c>
      <c r="K31" s="227"/>
      <c r="L31" s="222"/>
      <c r="M31" s="5"/>
      <c r="N31" s="2"/>
    </row>
    <row r="32" spans="1:14" ht="18.75">
      <c r="A32" s="2"/>
      <c r="B32" s="221"/>
      <c r="C32" s="233"/>
      <c r="D32" s="231"/>
      <c r="E32" s="231"/>
      <c r="F32" s="231"/>
      <c r="G32" s="231"/>
      <c r="H32" s="234"/>
      <c r="I32" s="234"/>
      <c r="J32" s="235"/>
      <c r="K32" s="236"/>
      <c r="L32" s="222"/>
      <c r="M32" s="5"/>
      <c r="N32" s="2"/>
    </row>
    <row r="33" spans="1:14" ht="9" customHeight="1">
      <c r="A33" s="2"/>
      <c r="B33" s="221"/>
      <c r="C33" s="5"/>
      <c r="D33" s="5"/>
      <c r="E33" s="5"/>
      <c r="F33" s="5"/>
      <c r="G33" s="5"/>
      <c r="H33" s="23"/>
      <c r="I33" s="23"/>
      <c r="J33" s="4"/>
      <c r="K33" s="5"/>
      <c r="L33" s="222"/>
      <c r="M33" s="5"/>
      <c r="N33" s="2"/>
    </row>
    <row r="34" spans="1:14" ht="15">
      <c r="A34" s="2"/>
      <c r="B34" s="221"/>
      <c r="C34" s="188" t="s">
        <v>135</v>
      </c>
      <c r="D34" s="188"/>
      <c r="E34" s="188"/>
      <c r="F34" s="188"/>
      <c r="G34" s="188"/>
      <c r="H34" s="188"/>
      <c r="I34" s="188"/>
      <c r="J34" s="188"/>
      <c r="K34" s="226"/>
      <c r="L34" s="222"/>
      <c r="M34" s="5"/>
      <c r="N34" s="2"/>
    </row>
    <row r="35" spans="1:14" ht="18.75">
      <c r="A35" s="2"/>
      <c r="B35" s="221"/>
      <c r="C35" s="232"/>
      <c r="D35" s="5"/>
      <c r="E35" s="5"/>
      <c r="F35" s="5"/>
      <c r="G35" s="5"/>
      <c r="H35" s="24"/>
      <c r="I35" s="24"/>
      <c r="J35" s="5"/>
      <c r="K35" s="227"/>
      <c r="L35" s="222"/>
      <c r="M35" s="5"/>
      <c r="N35" s="2"/>
    </row>
    <row r="36" spans="1:14" ht="15">
      <c r="A36" s="2"/>
      <c r="B36" s="221"/>
      <c r="C36" s="232"/>
      <c r="D36" s="5"/>
      <c r="E36" s="5"/>
      <c r="F36" s="5"/>
      <c r="G36" s="5"/>
      <c r="H36" s="23"/>
      <c r="I36" s="23"/>
      <c r="J36" s="5"/>
      <c r="K36" s="227"/>
      <c r="L36" s="222"/>
      <c r="M36" s="5"/>
      <c r="N36" s="2"/>
    </row>
    <row r="37" spans="1:14" ht="18.75">
      <c r="A37" s="2"/>
      <c r="B37" s="221"/>
      <c r="C37" s="232"/>
      <c r="D37" s="5"/>
      <c r="E37" s="5"/>
      <c r="F37" s="5"/>
      <c r="G37" s="5"/>
      <c r="H37" s="24"/>
      <c r="I37" s="24"/>
      <c r="J37" s="5"/>
      <c r="K37" s="227"/>
      <c r="L37" s="222"/>
      <c r="M37" s="5"/>
      <c r="N37" s="2"/>
    </row>
    <row r="38" spans="1:14" ht="15">
      <c r="A38" s="2"/>
      <c r="B38" s="221"/>
      <c r="C38" s="232"/>
      <c r="D38" s="5"/>
      <c r="E38" s="5"/>
      <c r="F38" s="5"/>
      <c r="G38" s="5"/>
      <c r="H38" s="23"/>
      <c r="I38" s="23"/>
      <c r="J38" s="5"/>
      <c r="K38" s="227"/>
      <c r="L38" s="222"/>
      <c r="M38" s="5"/>
      <c r="N38" s="2"/>
    </row>
    <row r="39" spans="1:14" ht="18.75">
      <c r="A39" s="2"/>
      <c r="B39" s="221"/>
      <c r="C39" s="232"/>
      <c r="D39" s="5"/>
      <c r="E39" s="5"/>
      <c r="F39" s="5"/>
      <c r="G39" s="5"/>
      <c r="H39" s="24"/>
      <c r="I39" s="24"/>
      <c r="J39" s="5"/>
      <c r="K39" s="227"/>
      <c r="L39" s="222"/>
      <c r="M39" s="5"/>
      <c r="N39" s="2"/>
    </row>
    <row r="40" spans="1:14" ht="15">
      <c r="A40" s="2"/>
      <c r="B40" s="221"/>
      <c r="C40" s="232"/>
      <c r="D40" s="5"/>
      <c r="E40" s="5"/>
      <c r="F40" s="5"/>
      <c r="G40" s="5"/>
      <c r="H40" s="5"/>
      <c r="I40" s="5"/>
      <c r="J40" s="5"/>
      <c r="K40" s="227"/>
      <c r="L40" s="222"/>
      <c r="M40" s="5"/>
      <c r="N40" s="2"/>
    </row>
    <row r="41" spans="1:14" ht="15">
      <c r="A41" s="5"/>
      <c r="B41" s="221"/>
      <c r="C41" s="232"/>
      <c r="D41" s="5"/>
      <c r="E41" s="5"/>
      <c r="F41" s="5"/>
      <c r="G41" s="5"/>
      <c r="H41" s="5"/>
      <c r="I41" s="5"/>
      <c r="J41" s="5"/>
      <c r="K41" s="227"/>
      <c r="L41" s="222"/>
      <c r="M41" s="5"/>
      <c r="N41" s="2"/>
    </row>
    <row r="42" spans="1:14" ht="15">
      <c r="A42" s="5"/>
      <c r="B42" s="221"/>
      <c r="C42" s="232"/>
      <c r="D42" s="5"/>
      <c r="E42" s="5"/>
      <c r="F42" s="5"/>
      <c r="G42" s="5"/>
      <c r="H42" s="5"/>
      <c r="I42" s="5"/>
      <c r="J42" s="5"/>
      <c r="K42" s="227"/>
      <c r="L42" s="222"/>
      <c r="M42" s="2"/>
      <c r="N42" s="2"/>
    </row>
    <row r="43" spans="1:14" ht="15">
      <c r="A43" s="5"/>
      <c r="B43" s="221"/>
      <c r="C43" s="232"/>
      <c r="D43" s="5"/>
      <c r="E43" s="5"/>
      <c r="F43" s="5"/>
      <c r="G43" s="5"/>
      <c r="H43" s="5"/>
      <c r="I43" s="5"/>
      <c r="J43" s="5"/>
      <c r="K43" s="227"/>
      <c r="L43" s="222"/>
      <c r="M43" s="2"/>
      <c r="N43" s="2"/>
    </row>
    <row r="44" spans="1:14" ht="15">
      <c r="A44" s="5"/>
      <c r="B44" s="221"/>
      <c r="C44" s="232"/>
      <c r="D44" s="5"/>
      <c r="E44" s="5"/>
      <c r="F44" s="5"/>
      <c r="G44" s="5"/>
      <c r="H44" s="5"/>
      <c r="I44" s="5"/>
      <c r="J44" s="5"/>
      <c r="K44" s="227"/>
      <c r="L44" s="222"/>
      <c r="M44" s="2"/>
      <c r="N44" s="2"/>
    </row>
    <row r="45" spans="1:14" ht="15">
      <c r="A45" s="5"/>
      <c r="B45" s="221"/>
      <c r="C45" s="232"/>
      <c r="D45" s="5"/>
      <c r="E45" s="5"/>
      <c r="F45" s="5"/>
      <c r="G45" s="5"/>
      <c r="H45" s="5"/>
      <c r="I45" s="5"/>
      <c r="J45" s="5"/>
      <c r="K45" s="227"/>
      <c r="L45" s="222"/>
      <c r="M45" s="2"/>
      <c r="N45" s="2"/>
    </row>
    <row r="46" spans="1:14" ht="15">
      <c r="A46" s="2"/>
      <c r="B46" s="221"/>
      <c r="C46" s="232"/>
      <c r="D46" s="5"/>
      <c r="E46" s="5"/>
      <c r="F46" s="5"/>
      <c r="G46" s="5"/>
      <c r="H46" s="5"/>
      <c r="I46" s="5"/>
      <c r="J46" s="5"/>
      <c r="K46" s="227"/>
      <c r="L46" s="222"/>
      <c r="M46" s="2"/>
      <c r="N46" s="2"/>
    </row>
    <row r="47" spans="1:14" ht="15">
      <c r="A47" s="2"/>
      <c r="B47" s="221"/>
      <c r="C47" s="232"/>
      <c r="D47" s="5"/>
      <c r="E47" s="5"/>
      <c r="F47" s="5"/>
      <c r="G47" s="5"/>
      <c r="H47" s="5"/>
      <c r="I47" s="5"/>
      <c r="J47" s="5"/>
      <c r="K47" s="227"/>
      <c r="L47" s="222"/>
      <c r="M47" s="2"/>
      <c r="N47" s="2"/>
    </row>
    <row r="48" spans="1:14" ht="15">
      <c r="A48" s="2"/>
      <c r="B48" s="221"/>
      <c r="C48" s="232"/>
      <c r="D48" s="5"/>
      <c r="E48" s="5"/>
      <c r="F48" s="5"/>
      <c r="G48" s="5"/>
      <c r="H48" s="5"/>
      <c r="I48" s="5"/>
      <c r="J48" s="5"/>
      <c r="K48" s="227"/>
      <c r="L48" s="222"/>
      <c r="M48" s="2"/>
      <c r="N48" s="2"/>
    </row>
    <row r="49" spans="1:14" ht="15">
      <c r="A49" s="2"/>
      <c r="B49" s="221"/>
      <c r="C49" s="232"/>
      <c r="D49" s="5"/>
      <c r="E49" s="5"/>
      <c r="F49" s="5"/>
      <c r="G49" s="5"/>
      <c r="H49" s="5"/>
      <c r="I49" s="5"/>
      <c r="J49" s="5"/>
      <c r="K49" s="227"/>
      <c r="L49" s="222"/>
      <c r="M49" s="2"/>
      <c r="N49" s="2"/>
    </row>
    <row r="50" spans="1:14" ht="15">
      <c r="A50" s="2"/>
      <c r="B50" s="221"/>
      <c r="C50" s="232"/>
      <c r="D50" s="5"/>
      <c r="E50" s="5"/>
      <c r="F50" s="5"/>
      <c r="G50" s="5"/>
      <c r="H50" s="5"/>
      <c r="I50" s="5"/>
      <c r="J50" s="5"/>
      <c r="K50" s="227"/>
      <c r="L50" s="222"/>
      <c r="M50" s="2"/>
      <c r="N50" s="2"/>
    </row>
    <row r="51" spans="1:14" ht="15">
      <c r="A51" s="2"/>
      <c r="B51" s="221"/>
      <c r="C51" s="232"/>
      <c r="D51" s="5"/>
      <c r="E51" s="5"/>
      <c r="F51" s="5"/>
      <c r="G51" s="5"/>
      <c r="H51" s="5"/>
      <c r="I51" s="5"/>
      <c r="J51" s="5"/>
      <c r="K51" s="227"/>
      <c r="L51" s="222"/>
      <c r="M51" s="2"/>
      <c r="N51" s="2"/>
    </row>
    <row r="52" spans="1:14" ht="14.25" customHeight="1">
      <c r="A52" s="2"/>
      <c r="B52" s="221"/>
      <c r="C52" s="233"/>
      <c r="D52" s="231"/>
      <c r="E52" s="231"/>
      <c r="F52" s="231"/>
      <c r="G52" s="231"/>
      <c r="H52" s="231"/>
      <c r="I52" s="231"/>
      <c r="J52" s="231"/>
      <c r="K52" s="236"/>
      <c r="L52" s="222"/>
      <c r="M52" s="2"/>
      <c r="N52" s="2"/>
    </row>
    <row r="53" spans="1:14" ht="15.75" hidden="1" thickBot="1">
      <c r="A53" s="2"/>
      <c r="B53" s="223"/>
      <c r="C53" s="224"/>
      <c r="D53" s="224"/>
      <c r="E53" s="224"/>
      <c r="F53" s="224"/>
      <c r="G53" s="224"/>
      <c r="H53" s="224"/>
      <c r="I53" s="224"/>
      <c r="J53" s="224"/>
      <c r="K53" s="224"/>
      <c r="L53" s="225"/>
      <c r="M53" s="2"/>
      <c r="N53" s="2"/>
    </row>
    <row r="54" spans="1:14" ht="6.75" customHeight="1" thickBot="1">
      <c r="A54" s="2"/>
      <c r="B54" s="223"/>
      <c r="C54" s="224"/>
      <c r="D54" s="224"/>
      <c r="E54" s="224"/>
      <c r="F54" s="224"/>
      <c r="G54" s="224"/>
      <c r="H54" s="224"/>
      <c r="I54" s="224"/>
      <c r="J54" s="224"/>
      <c r="K54" s="224"/>
      <c r="L54" s="225"/>
      <c r="M54" s="2"/>
      <c r="N54" s="2"/>
    </row>
    <row r="55" spans="1:14" s="117" customFormat="1" ht="73.5" customHeight="1">
      <c r="A55" s="11"/>
      <c r="B55" s="299" t="s">
        <v>300</v>
      </c>
      <c r="C55" s="10"/>
      <c r="D55" s="11"/>
      <c r="E55" s="105"/>
      <c r="F55" s="11"/>
      <c r="G55" s="11"/>
      <c r="H55" s="11"/>
      <c r="I55" s="11"/>
      <c r="J55" s="11"/>
      <c r="K55" s="11"/>
      <c r="L55" s="11"/>
      <c r="M55" s="11"/>
      <c r="N55" s="11"/>
    </row>
  </sheetData>
  <sheetProtection sheet="1"/>
  <printOptions horizontalCentered="1"/>
  <pageMargins left="0.31496062992125984" right="0.31496062992125984" top="0.5511811023622047" bottom="0.5511811023622047" header="0.31496062992125984" footer="0.31496062992125984"/>
  <pageSetup fitToHeight="1" fitToWidth="1" horizontalDpi="600" verticalDpi="600" orientation="portrait" paperSize="9" scale="92" r:id="rId2"/>
  <rowBreaks count="1" manualBreakCount="1">
    <brk id="55" max="12" man="1"/>
  </rowBreaks>
  <drawing r:id="rId1"/>
</worksheet>
</file>

<file path=xl/worksheets/sheet6.xml><?xml version="1.0" encoding="utf-8"?>
<worksheet xmlns="http://schemas.openxmlformats.org/spreadsheetml/2006/main" xmlns:r="http://schemas.openxmlformats.org/officeDocument/2006/relationships">
  <sheetPr>
    <tabColor theme="0" tint="-0.4999699890613556"/>
  </sheetPr>
  <dimension ref="A1:E10"/>
  <sheetViews>
    <sheetView zoomScalePageLayoutView="0" workbookViewId="0" topLeftCell="A1">
      <selection activeCell="F10" sqref="F10"/>
    </sheetView>
  </sheetViews>
  <sheetFormatPr defaultColWidth="9.140625" defaultRowHeight="15"/>
  <cols>
    <col min="1" max="1" width="12.8515625" style="248" customWidth="1"/>
    <col min="2" max="2" width="40.140625" style="248" customWidth="1"/>
    <col min="3" max="3" width="11.7109375" style="248" customWidth="1"/>
    <col min="4" max="4" width="26.8515625" style="248" customWidth="1"/>
    <col min="5" max="5" width="1.28515625" style="248" customWidth="1"/>
    <col min="6" max="16384" width="9.140625" style="248" customWidth="1"/>
  </cols>
  <sheetData>
    <row r="1" spans="1:5" ht="28.5" customHeight="1">
      <c r="A1" s="272" t="s">
        <v>296</v>
      </c>
      <c r="B1" s="272"/>
      <c r="C1" s="272"/>
      <c r="D1" s="272"/>
      <c r="E1" s="2"/>
    </row>
    <row r="2" spans="1:5" ht="15">
      <c r="A2" s="273" t="s">
        <v>121</v>
      </c>
      <c r="B2" s="273" t="s">
        <v>122</v>
      </c>
      <c r="C2" s="273" t="s">
        <v>104</v>
      </c>
      <c r="D2" s="273" t="s">
        <v>123</v>
      </c>
      <c r="E2" s="2"/>
    </row>
    <row r="3" spans="1:5" ht="22.5">
      <c r="A3" s="274">
        <v>1</v>
      </c>
      <c r="B3" s="275"/>
      <c r="C3" s="276">
        <v>40100</v>
      </c>
      <c r="D3" s="275" t="s">
        <v>151</v>
      </c>
      <c r="E3" s="2"/>
    </row>
    <row r="4" spans="1:5" ht="33.75">
      <c r="A4" s="274">
        <v>2</v>
      </c>
      <c r="B4" s="275" t="s">
        <v>150</v>
      </c>
      <c r="C4" s="276">
        <v>40108</v>
      </c>
      <c r="D4" s="275" t="s">
        <v>136</v>
      </c>
      <c r="E4" s="2"/>
    </row>
    <row r="5" spans="1:5" ht="29.25" customHeight="1">
      <c r="A5" s="277">
        <v>3</v>
      </c>
      <c r="B5" s="278" t="s">
        <v>294</v>
      </c>
      <c r="C5" s="279">
        <v>40240</v>
      </c>
      <c r="D5" s="275" t="s">
        <v>295</v>
      </c>
      <c r="E5" s="2"/>
    </row>
    <row r="6" spans="1:5" ht="22.5">
      <c r="A6" s="277">
        <v>4</v>
      </c>
      <c r="B6" s="278" t="s">
        <v>298</v>
      </c>
      <c r="C6" s="279">
        <v>40242</v>
      </c>
      <c r="D6" s="275" t="s">
        <v>299</v>
      </c>
      <c r="E6" s="2"/>
    </row>
    <row r="7" spans="1:5" ht="22.5">
      <c r="A7" s="277">
        <v>5</v>
      </c>
      <c r="B7" s="278" t="s">
        <v>302</v>
      </c>
      <c r="C7" s="279">
        <v>40259</v>
      </c>
      <c r="D7" s="278" t="s">
        <v>301</v>
      </c>
      <c r="E7" s="2"/>
    </row>
    <row r="8" spans="1:5" ht="15">
      <c r="A8" s="277"/>
      <c r="B8" s="278"/>
      <c r="C8" s="280"/>
      <c r="D8" s="278"/>
      <c r="E8" s="2"/>
    </row>
    <row r="9" spans="1:5" ht="15">
      <c r="A9" s="277"/>
      <c r="B9" s="278"/>
      <c r="C9" s="280"/>
      <c r="D9" s="278"/>
      <c r="E9" s="2"/>
    </row>
    <row r="10" spans="1:5" ht="76.5" customHeight="1">
      <c r="A10" s="423" t="s">
        <v>303</v>
      </c>
      <c r="B10" s="424"/>
      <c r="C10" s="424"/>
      <c r="D10" s="424"/>
      <c r="E10" s="2"/>
    </row>
  </sheetData>
  <sheetProtection sheet="1"/>
  <mergeCells count="1">
    <mergeCell ref="A10:D1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0" tint="-0.4999699890613556"/>
  </sheetPr>
  <dimension ref="A2:O51"/>
  <sheetViews>
    <sheetView zoomScale="70" zoomScaleNormal="70" zoomScalePageLayoutView="0" workbookViewId="0" topLeftCell="A10">
      <selection activeCell="B49" sqref="B49"/>
    </sheetView>
  </sheetViews>
  <sheetFormatPr defaultColWidth="9.140625" defaultRowHeight="15"/>
  <cols>
    <col min="1" max="1" width="11.00390625" style="248" customWidth="1"/>
    <col min="2" max="2" width="82.00390625" style="248" bestFit="1" customWidth="1"/>
    <col min="3" max="3" width="14.57421875" style="248" bestFit="1" customWidth="1"/>
    <col min="4" max="4" width="12.421875" style="248" bestFit="1" customWidth="1"/>
    <col min="5" max="5" width="22.8515625" style="248" customWidth="1"/>
    <col min="6" max="6" width="4.140625" style="248" bestFit="1" customWidth="1"/>
    <col min="7" max="7" width="2.421875" style="248" customWidth="1"/>
    <col min="8" max="8" width="31.8515625" style="248" bestFit="1" customWidth="1"/>
    <col min="9" max="9" width="10.421875" style="248" bestFit="1" customWidth="1"/>
    <col min="10" max="10" width="17.00390625" style="248" customWidth="1"/>
    <col min="11" max="11" width="12.28125" style="248" customWidth="1"/>
    <col min="12" max="12" width="56.421875" style="248" customWidth="1"/>
    <col min="13" max="13" width="9.8515625" style="248" bestFit="1" customWidth="1"/>
    <col min="14" max="14" width="15.00390625" style="248" bestFit="1" customWidth="1"/>
    <col min="15" max="16384" width="9.140625" style="248" customWidth="1"/>
  </cols>
  <sheetData>
    <row r="2" spans="2:15" ht="15.75">
      <c r="B2" s="246" t="s">
        <v>14</v>
      </c>
      <c r="C2" s="247" t="s">
        <v>4</v>
      </c>
      <c r="D2" s="247" t="s">
        <v>67</v>
      </c>
      <c r="E2" s="328" t="s">
        <v>145</v>
      </c>
      <c r="F2" s="328" t="s">
        <v>209</v>
      </c>
      <c r="H2" s="425" t="s">
        <v>5</v>
      </c>
      <c r="I2" s="425"/>
      <c r="J2" s="249"/>
      <c r="K2" s="250" t="s">
        <v>74</v>
      </c>
      <c r="L2" s="251">
        <v>0.7</v>
      </c>
      <c r="N2" s="252" t="s">
        <v>80</v>
      </c>
      <c r="O2" s="253">
        <f>Summary!G35</f>
        <v>0</v>
      </c>
    </row>
    <row r="3" spans="2:15" ht="15">
      <c r="B3" s="254"/>
      <c r="C3" s="255" t="s">
        <v>2</v>
      </c>
      <c r="D3" s="255" t="s">
        <v>66</v>
      </c>
      <c r="E3" s="329" t="s">
        <v>146</v>
      </c>
      <c r="F3" s="329" t="s">
        <v>210</v>
      </c>
      <c r="H3" s="256" t="s">
        <v>2</v>
      </c>
      <c r="I3" s="256" t="s">
        <v>4</v>
      </c>
      <c r="J3" s="257"/>
      <c r="K3" s="258"/>
      <c r="L3" s="251">
        <v>0.65</v>
      </c>
      <c r="N3" s="252" t="s">
        <v>81</v>
      </c>
      <c r="O3" s="253" t="e">
        <f>Summary!G37</f>
        <v>#VALUE!</v>
      </c>
    </row>
    <row r="4" spans="2:15" ht="15">
      <c r="B4" s="259"/>
      <c r="C4" s="260" t="s">
        <v>15</v>
      </c>
      <c r="D4" s="260"/>
      <c r="E4" s="330"/>
      <c r="F4" s="330"/>
      <c r="H4" s="258">
        <v>1</v>
      </c>
      <c r="I4" s="261">
        <f>H4*10.197</f>
        <v>10.197</v>
      </c>
      <c r="J4" s="262"/>
      <c r="K4" s="258"/>
      <c r="L4" s="251">
        <v>0.55</v>
      </c>
      <c r="N4" s="252" t="s">
        <v>49</v>
      </c>
      <c r="O4" s="253" t="e">
        <f>Summary!G39</f>
        <v>#VALUE!</v>
      </c>
    </row>
    <row r="5" spans="8:15" ht="15">
      <c r="H5" s="258"/>
      <c r="I5" s="258"/>
      <c r="J5" s="263"/>
      <c r="K5" s="258"/>
      <c r="L5" s="251">
        <v>0.45</v>
      </c>
      <c r="N5" s="252" t="s">
        <v>75</v>
      </c>
      <c r="O5" s="253" t="e">
        <f>Summary!G43</f>
        <v>#DIV/0!</v>
      </c>
    </row>
    <row r="6" spans="2:12" ht="15">
      <c r="B6" s="264" t="s">
        <v>10</v>
      </c>
      <c r="C6" s="264" t="s">
        <v>11</v>
      </c>
      <c r="H6" s="250" t="s">
        <v>15</v>
      </c>
      <c r="I6" s="250" t="s">
        <v>4</v>
      </c>
      <c r="J6" s="265"/>
      <c r="K6" s="258"/>
      <c r="L6" s="251">
        <v>0.35</v>
      </c>
    </row>
    <row r="7" spans="2:12" ht="15">
      <c r="B7" s="248" t="s">
        <v>12</v>
      </c>
      <c r="C7" s="248">
        <v>9.81</v>
      </c>
      <c r="D7" s="248" t="s">
        <v>3</v>
      </c>
      <c r="H7" s="258">
        <v>1</v>
      </c>
      <c r="I7" s="258">
        <v>0.703249614902049</v>
      </c>
      <c r="J7" s="263"/>
      <c r="K7" s="258"/>
      <c r="L7" s="251">
        <v>0.25</v>
      </c>
    </row>
    <row r="8" spans="8:12" ht="15">
      <c r="H8" s="258"/>
      <c r="I8" s="266"/>
      <c r="J8" s="267"/>
      <c r="K8" s="258"/>
      <c r="L8" s="251">
        <v>0.25</v>
      </c>
    </row>
    <row r="9" spans="2:12" ht="15">
      <c r="B9" s="248" t="s">
        <v>28</v>
      </c>
      <c r="C9" s="268">
        <f>(Inputs!F57*Inputs!F116*Inputs!F53*g)/3600000</f>
        <v>0</v>
      </c>
      <c r="D9" s="248" t="s">
        <v>0</v>
      </c>
      <c r="H9" s="250" t="s">
        <v>66</v>
      </c>
      <c r="I9" s="250" t="s">
        <v>68</v>
      </c>
      <c r="J9" s="265"/>
      <c r="K9" s="263"/>
      <c r="L9" s="269"/>
    </row>
    <row r="10" spans="2:12" ht="15">
      <c r="B10" s="372" t="s">
        <v>29</v>
      </c>
      <c r="C10" s="373">
        <f>(Inputs!F57*Inputs!F116*Inputs!F53*g*'Fixed Data'!I4)/3600000</f>
        <v>0</v>
      </c>
      <c r="D10" s="372" t="s">
        <v>0</v>
      </c>
      <c r="H10" s="258">
        <v>1</v>
      </c>
      <c r="I10" s="258">
        <v>0.004546092</v>
      </c>
      <c r="J10" s="263"/>
      <c r="K10" s="263"/>
      <c r="L10" s="269"/>
    </row>
    <row r="11" spans="2:10" ht="15">
      <c r="B11" s="372" t="s">
        <v>30</v>
      </c>
      <c r="C11" s="373">
        <f>(((Inputs!$F$57*'Fixed Data'!$I$7)*Inputs!$F$116*g*Inputs!$F$53))/3600000</f>
        <v>0</v>
      </c>
      <c r="D11" s="372" t="s">
        <v>0</v>
      </c>
      <c r="H11" s="264"/>
      <c r="I11" s="264"/>
      <c r="J11" s="264"/>
    </row>
    <row r="13" spans="2:4" ht="15">
      <c r="B13" s="248" t="s">
        <v>31</v>
      </c>
      <c r="C13" s="268">
        <f>(Inputs!$F$57*Inputs!$F$116*Inputs!$F$51*g)/3600000</f>
        <v>0</v>
      </c>
      <c r="D13" s="248" t="s">
        <v>0</v>
      </c>
    </row>
    <row r="14" spans="2:4" ht="15">
      <c r="B14" s="372" t="s">
        <v>32</v>
      </c>
      <c r="C14" s="373">
        <f>(Inputs!$F$57*Inputs!$F$116*Inputs!$F$51*g*I4)/3600000</f>
        <v>0</v>
      </c>
      <c r="D14" s="372" t="s">
        <v>0</v>
      </c>
    </row>
    <row r="15" spans="2:4" ht="15">
      <c r="B15" s="372" t="s">
        <v>33</v>
      </c>
      <c r="C15" s="373">
        <f>(Inputs!$F$57*Inputs!$F$116*Inputs!$F$51*g*I7)/3600000</f>
        <v>0</v>
      </c>
      <c r="D15" s="372" t="s">
        <v>0</v>
      </c>
    </row>
    <row r="16" ht="15">
      <c r="C16" s="268"/>
    </row>
    <row r="17" spans="2:4" ht="15">
      <c r="B17" s="248" t="s">
        <v>224</v>
      </c>
      <c r="C17" s="268">
        <f>(Inputs!$F$57*Inputs!$F$116*'Fixed Data'!$C$33*g)/3600000</f>
        <v>0</v>
      </c>
      <c r="D17" s="248" t="s">
        <v>0</v>
      </c>
    </row>
    <row r="18" spans="2:4" ht="15">
      <c r="B18" s="372" t="s">
        <v>225</v>
      </c>
      <c r="C18" s="373">
        <f>(Inputs!$F$57*'Fixed Data'!I4*Inputs!$F$116*'Fixed Data'!$C$33*g)/3600000</f>
        <v>0</v>
      </c>
      <c r="D18" s="372" t="s">
        <v>0</v>
      </c>
    </row>
    <row r="19" spans="2:4" ht="15">
      <c r="B19" s="372" t="s">
        <v>226</v>
      </c>
      <c r="C19" s="373">
        <f>(Inputs!$F$57*'Fixed Data'!$I$7*Inputs!$F$116*'Fixed Data'!$C$33*g)/3600000</f>
        <v>0</v>
      </c>
      <c r="D19" s="372" t="s">
        <v>0</v>
      </c>
    </row>
    <row r="20" spans="2:4" ht="15">
      <c r="B20" s="372"/>
      <c r="C20" s="373"/>
      <c r="D20" s="372"/>
    </row>
    <row r="21" spans="2:4" ht="15">
      <c r="B21" s="248" t="s">
        <v>219</v>
      </c>
      <c r="C21" s="268">
        <f>Inputs!F55*Inputs!F57*Inputs!F116*g/3600000</f>
        <v>0</v>
      </c>
      <c r="D21" s="248" t="s">
        <v>0</v>
      </c>
    </row>
    <row r="22" spans="2:4" ht="15">
      <c r="B22" s="248" t="s">
        <v>220</v>
      </c>
      <c r="C22" s="268">
        <f>Inputs!$F$57*Inputs!$F$55*Inputs!$F$116*g*'Fixed Data'!$I$4/3600000</f>
        <v>0</v>
      </c>
      <c r="D22" s="248" t="s">
        <v>0</v>
      </c>
    </row>
    <row r="23" spans="2:4" ht="15">
      <c r="B23" s="248" t="s">
        <v>221</v>
      </c>
      <c r="C23" s="268">
        <f>(Inputs!$F$55*'Fixed Data'!$I$7)*Inputs!$F$57*Inputs!$F$116*g/3600000</f>
        <v>0</v>
      </c>
      <c r="D23" s="248" t="s">
        <v>0</v>
      </c>
    </row>
    <row r="25" spans="2:4" ht="15">
      <c r="B25" s="248" t="s">
        <v>231</v>
      </c>
      <c r="C25" s="268">
        <f>C21+C13+C17</f>
        <v>0</v>
      </c>
      <c r="D25" s="248" t="s">
        <v>0</v>
      </c>
    </row>
    <row r="26" spans="2:4" ht="15">
      <c r="B26" s="248" t="s">
        <v>232</v>
      </c>
      <c r="C26" s="268">
        <f>C22+C13+C17</f>
        <v>0</v>
      </c>
      <c r="D26" s="248" t="s">
        <v>0</v>
      </c>
    </row>
    <row r="27" spans="2:4" ht="15">
      <c r="B27" s="248" t="s">
        <v>230</v>
      </c>
      <c r="C27" s="268">
        <f>C23+C13+C17</f>
        <v>0</v>
      </c>
      <c r="D27" s="248" t="s">
        <v>0</v>
      </c>
    </row>
    <row r="28" ht="15">
      <c r="C28" s="268"/>
    </row>
    <row r="29" spans="2:4" ht="15">
      <c r="B29" s="248" t="s">
        <v>227</v>
      </c>
      <c r="C29" s="268">
        <f>C25*$I$10</f>
        <v>0</v>
      </c>
      <c r="D29" s="248" t="s">
        <v>0</v>
      </c>
    </row>
    <row r="30" spans="2:4" ht="15">
      <c r="B30" s="248" t="s">
        <v>228</v>
      </c>
      <c r="C30" s="268">
        <f>C26*$I$10</f>
        <v>0</v>
      </c>
      <c r="D30" s="248" t="s">
        <v>0</v>
      </c>
    </row>
    <row r="31" spans="1:4" ht="15">
      <c r="A31" s="248" t="s">
        <v>234</v>
      </c>
      <c r="B31" s="248" t="s">
        <v>229</v>
      </c>
      <c r="C31" s="268">
        <f>C27*$I$10</f>
        <v>0</v>
      </c>
      <c r="D31" s="248" t="s">
        <v>0</v>
      </c>
    </row>
    <row r="32" ht="15">
      <c r="C32" s="268"/>
    </row>
    <row r="33" spans="2:4" ht="15">
      <c r="B33" s="248" t="s">
        <v>218</v>
      </c>
      <c r="C33" s="268">
        <f>IF(C46="",0,IF(C45="",0,C46-C45))</f>
        <v>0</v>
      </c>
      <c r="D33" s="248" t="s">
        <v>215</v>
      </c>
    </row>
    <row r="34" ht="15">
      <c r="C34" s="268"/>
    </row>
    <row r="35" spans="2:4" ht="15">
      <c r="B35" s="248" t="s">
        <v>16</v>
      </c>
      <c r="C35" s="268">
        <f>(Inputs!$F$57*Inputs!$F$116*Inputs!$F$71*g)/3600000</f>
        <v>0</v>
      </c>
      <c r="D35" s="248" t="s">
        <v>0</v>
      </c>
    </row>
    <row r="36" spans="2:7" ht="15">
      <c r="B36" s="248" t="s">
        <v>17</v>
      </c>
      <c r="C36" s="268">
        <f>(Inputs!$F$57*'Fixed Data'!$I$4*Inputs!$F$116*Inputs!$F$71*g)/3600000</f>
        <v>0</v>
      </c>
      <c r="D36" s="248" t="s">
        <v>0</v>
      </c>
      <c r="E36" s="263"/>
      <c r="F36" s="263"/>
      <c r="G36" s="263"/>
    </row>
    <row r="37" spans="2:7" ht="15">
      <c r="B37" s="248" t="s">
        <v>18</v>
      </c>
      <c r="C37" s="268">
        <f>(Inputs!$F$57*'Fixed Data'!$I$7*Inputs!$F$116*Inputs!$F$71*g)/3600000</f>
        <v>0</v>
      </c>
      <c r="D37" s="248" t="s">
        <v>0</v>
      </c>
      <c r="E37" s="263"/>
      <c r="F37" s="263"/>
      <c r="G37" s="263"/>
    </row>
    <row r="38" spans="3:7" ht="15">
      <c r="C38" s="268"/>
      <c r="E38" s="263"/>
      <c r="F38" s="263"/>
      <c r="G38" s="263"/>
    </row>
    <row r="39" spans="1:7" ht="15">
      <c r="A39" s="248" t="s">
        <v>233</v>
      </c>
      <c r="B39" s="248" t="s">
        <v>62</v>
      </c>
      <c r="C39" s="268">
        <f>Inputs!F55</f>
        <v>0</v>
      </c>
      <c r="D39" s="248" t="s">
        <v>65</v>
      </c>
      <c r="F39" s="263"/>
      <c r="G39" s="263"/>
    </row>
    <row r="40" spans="2:4" ht="15">
      <c r="B40" s="248" t="s">
        <v>63</v>
      </c>
      <c r="C40" s="268">
        <f>Inputs!F55*'Fixed Data'!I4</f>
        <v>0</v>
      </c>
      <c r="D40" s="248" t="s">
        <v>65</v>
      </c>
    </row>
    <row r="41" spans="2:10" ht="15">
      <c r="B41" s="248" t="s">
        <v>64</v>
      </c>
      <c r="C41" s="268">
        <f>Inputs!F55*'Fixed Data'!I7</f>
        <v>0</v>
      </c>
      <c r="D41" s="248" t="s">
        <v>65</v>
      </c>
      <c r="J41" s="268"/>
    </row>
    <row r="42" ht="15">
      <c r="C42" s="268"/>
    </row>
    <row r="43" spans="2:10" ht="15">
      <c r="B43" s="248" t="s">
        <v>70</v>
      </c>
      <c r="C43" s="268">
        <f>IF(Inputs!G55="m of head",'Fixed Data'!C39,IF(Inputs!G55="bar",'Fixed Data'!C40,IF(Inputs!G55="psi",'Fixed Data'!C41)))</f>
        <v>0</v>
      </c>
      <c r="D43" s="248" t="s">
        <v>65</v>
      </c>
      <c r="J43" s="370"/>
    </row>
    <row r="44" spans="2:10" ht="15">
      <c r="B44" s="117"/>
      <c r="C44" s="117"/>
      <c r="J44" s="370"/>
    </row>
    <row r="45" spans="2:4" ht="15">
      <c r="B45" s="248" t="s">
        <v>216</v>
      </c>
      <c r="C45" s="371">
        <f>(IF(C48="",0,(C48^2)/(2*g)))</f>
        <v>0</v>
      </c>
      <c r="D45" s="248" t="s">
        <v>215</v>
      </c>
    </row>
    <row r="46" spans="2:9" ht="15">
      <c r="B46" s="248" t="s">
        <v>217</v>
      </c>
      <c r="C46" s="268">
        <f>IF(C49="",0,(C49^2)/(2*g))</f>
        <v>0</v>
      </c>
      <c r="D46" s="248" t="s">
        <v>215</v>
      </c>
      <c r="I46" s="370"/>
    </row>
    <row r="47" ht="15">
      <c r="C47" s="268"/>
    </row>
    <row r="48" spans="2:4" ht="15">
      <c r="B48" s="248" t="s">
        <v>213</v>
      </c>
      <c r="C48" s="268">
        <f>IF(Inputs!F61="",0,IF(Inputs!G57="m3/h",Inputs!F57/(PI()*((Inputs!F61/2)^2)*3600),IF(Inputs!G57="g/h",(Inputs!F57/(PI()*((Inputs!F61/2)^2))*I10)/3600,"")))</f>
        <v>0</v>
      </c>
      <c r="D48" s="248" t="s">
        <v>3</v>
      </c>
    </row>
    <row r="49" spans="2:4" ht="15">
      <c r="B49" s="248" t="s">
        <v>214</v>
      </c>
      <c r="C49" s="268">
        <f>IF(Inputs!F63="",0,IF(Inputs!F63=0,"",IF(Inputs!G57="m3/h",Inputs!F57/(PI()*((Inputs!F63/2)^2)*3600),IF(Inputs!G57="g/h",(Inputs!F57/(PI()*((Inputs!F63/2)^2))*I11)*3600,""))))</f>
        <v>0</v>
      </c>
      <c r="D49" s="248" t="s">
        <v>3</v>
      </c>
    </row>
    <row r="51" spans="3:4" ht="15">
      <c r="C51" s="270"/>
      <c r="D51" s="271"/>
    </row>
  </sheetData>
  <sheetProtection/>
  <mergeCells count="1">
    <mergeCell ref="H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Pump Efficiency Calculation Tool</dc:title>
  <dc:subject/>
  <dc:creator>Byrne Ó Cléirigh Consulting</dc:creator>
  <cp:keywords/>
  <dc:description/>
  <cp:lastModifiedBy>Thắng Nguyễn</cp:lastModifiedBy>
  <cp:lastPrinted>2010-02-08T14:53:29Z</cp:lastPrinted>
  <dcterms:created xsi:type="dcterms:W3CDTF">2009-08-31T11:42:11Z</dcterms:created>
  <dcterms:modified xsi:type="dcterms:W3CDTF">2020-06-18T16:36:14Z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