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YousefMohammedLutf\Desktop\"/>
    </mc:Choice>
  </mc:AlternateContent>
  <bookViews>
    <workbookView xWindow="0" yWindow="0" windowWidth="19545" windowHeight="7740" tabRatio="984" firstSheet="1" activeTab="1" xr2:uid="{00000000-000D-0000-FFFF-FFFF00000000}"/>
  </bookViews>
  <sheets>
    <sheet name="Published Papers (2)" sheetId="9" state="hidden" r:id="rId1"/>
    <sheet name="Procedure FlowChart" sheetId="12" r:id="rId2"/>
    <sheet name="BS-7430 Resistance" sheetId="2" r:id="rId3"/>
    <sheet name="BS-7430 Conductor Selection" sheetId="4" r:id="rId4"/>
    <sheet name="IEEE Green Book" sheetId="3" r:id="rId5"/>
    <sheet name="Substation Grounding" sheetId="8" state="hidden" r:id="rId6"/>
    <sheet name="IEC 60364" sheetId="5" r:id="rId7"/>
    <sheet name="Common Methods" sheetId="11" r:id="rId8"/>
    <sheet name="Other Methods" sheetId="7" r:id="rId9"/>
    <sheet name="illustrations" sheetId="10" r:id="rId10"/>
    <sheet name="Worksheeet" sheetId="1" state="hidden" r:id="rId11"/>
  </sheets>
  <definedNames>
    <definedName name="A">Worksheeet!$M$24</definedName>
    <definedName name="Aluminium">Worksheeet!$S$24:$S$29</definedName>
    <definedName name="B">Worksheeet!$N$24</definedName>
    <definedName name="Bare">Worksheeet!$L$56:$L$59</definedName>
    <definedName name="BS">Worksheeet!$F$7:$F$19</definedName>
    <definedName name="Cableinsul">Worksheeet!$P$67:$P$73</definedName>
    <definedName name="Case">Worksheeet!$H$84:$H$85</definedName>
    <definedName name="co">Worksheeet!$O$24:$O$25</definedName>
    <definedName name="Concrete">Worksheeet!$H$79:$H$81</definedName>
    <definedName name="Condition">Worksheeet!$Q$67:$Q$69</definedName>
    <definedName name="Conditions">Worksheeet!$Q$67:$Q$69</definedName>
    <definedName name="Configuration">Worksheeet!$L$39:$L$41</definedName>
    <definedName name="Connection">Worksheeet!$L$61:$L$63</definedName>
    <definedName name="cop">Worksheeet!$O$24:$O$25</definedName>
    <definedName name="Copper">Worksheeet!$R$24:$R$35</definedName>
    <definedName name="Copper.">Worksheeet!$H$52:$H$54</definedName>
    <definedName name="Copper.Sheathed">Worksheeet!$O$49</definedName>
    <definedName name="Covering">Worksheeet!$O$67:$O$69</definedName>
    <definedName name="Dia">Worksheeet!$J$67:$J$69</definedName>
    <definedName name="diaaa">Worksheeet!$L$84:$L$86</definedName>
    <definedName name="E">Worksheeet!$S$7:$S$8</definedName>
    <definedName name="Gomez">Worksheeet!$T$79:$T$81</definedName>
    <definedName name="Hot.dip.galvanized.or.Stainless">Worksheeet!$L$49:$L$53</definedName>
    <definedName name="Insulation">Worksheeet!$M$67:$M$72</definedName>
    <definedName name="Joint">Worksheeet!$L$24:$L$27</definedName>
    <definedName name="l">Worksheeet!$N$84</definedName>
    <definedName name="M">Worksheeet!$H$46:$H$47</definedName>
    <definedName name="Ma">Worksheeet!$H$66:$H$69</definedName>
    <definedName name="Mat">Worksheeet!$J$24:$J$26</definedName>
    <definedName name="Mate">Worksheeet!$H$61:$H$62</definedName>
    <definedName name="Material">Worksheeet!$J$39:$J$44</definedName>
    <definedName name="Max_T">Worksheeet!$K$24:$K$34</definedName>
    <definedName name="Mech">Worksheeet!$I$61:$I$62</definedName>
    <definedName name="n">Worksheeet!$Q$7:$Q$12</definedName>
    <definedName name="Num">Worksheeet!$K$67:$K$75</definedName>
    <definedName name="Prot">Worksheeet!$N$61:$N$62</definedName>
    <definedName name="re">Worksheeet!$J$84:$J$88</definedName>
    <definedName name="reeee">Worksheeet!$J$84:$J$93</definedName>
    <definedName name="res">Worksheeet!$J$84:$J$93</definedName>
    <definedName name="resi">Worksheeet!$K$84:$K$93</definedName>
    <definedName name="ress">Worksheeet!$K$84:$K$86</definedName>
    <definedName name="resss">Worksheeet!$K$84:$K$86</definedName>
    <definedName name="rod">Worksheeet!$S$79:$S$81</definedName>
    <definedName name="s">Worksheeet!$P$24:$P$25</definedName>
    <definedName name="Similar">Worksheeet!$R$60:$R$61</definedName>
    <definedName name="Steel">Worksheeet!$H$49:$H$51</definedName>
    <definedName name="Surface">Worksheeet!$H$49:$H$54</definedName>
    <definedName name="T">Worksheeet!$Q$24:$Q$29</definedName>
    <definedName name="Te">Worksheeet!$R$24:$R$25</definedName>
    <definedName name="Tee">Worksheeet!$S$24:$S$25</definedName>
    <definedName name="Teee">Worksheeet!$T$24:$T$26</definedName>
    <definedName name="Tin.coated">Worksheeet!$N$56</definedName>
    <definedName name="Turbine">Worksheeet!$P$79:$P$80</definedName>
    <definedName name="Tw">Worksheeet!$N$24</definedName>
    <definedName name="Tww">Worksheeet!$M$24</definedName>
    <definedName name="Twww">Worksheeet!$O$24</definedName>
    <definedName name="Twwww">Worksheeet!$P$24:$P$25</definedName>
    <definedName name="Twwwww">Worksheeet!$Q$24:$Q$25</definedName>
    <definedName name="Ty">Worksheeet!$H$57:$H$58</definedName>
    <definedName name="Typ">Worksheeet!$L$67:$L$71</definedName>
    <definedName name="Type">Worksheeet!$F$7:$F$18</definedName>
    <definedName name="TypeIEEE">Worksheeet!$F$24:$F$37</definedName>
    <definedName name="With.electrodeposited.copper.coating">Worksheeet!$Q$49</definedName>
    <definedName name="yes">Worksheeet!$N$24:$N$25</definedName>
    <definedName name="Zinc.coated">Worksheeet!$O$56</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7" l="1"/>
  <c r="G19" i="2" l="1"/>
  <c r="E18" i="11"/>
  <c r="E37" i="5" l="1"/>
  <c r="D17" i="7" l="1"/>
  <c r="D16" i="7"/>
  <c r="D15" i="7"/>
  <c r="D8" i="7"/>
  <c r="D11" i="7"/>
  <c r="D12" i="7"/>
  <c r="D13" i="7"/>
  <c r="D19" i="11"/>
  <c r="D20" i="11"/>
  <c r="D21" i="11"/>
  <c r="E21" i="11"/>
  <c r="E20" i="11"/>
  <c r="E19" i="11"/>
  <c r="E16" i="11"/>
  <c r="D22" i="11"/>
  <c r="E17" i="11"/>
  <c r="D16" i="11"/>
  <c r="D17" i="11"/>
  <c r="D18" i="11"/>
  <c r="F16" i="3" l="1"/>
  <c r="F15" i="3"/>
  <c r="H15" i="3"/>
  <c r="I12" i="3" s="1"/>
  <c r="I13" i="3" s="1"/>
  <c r="G27" i="3"/>
  <c r="D23" i="11" l="1"/>
  <c r="E9" i="5"/>
  <c r="F13" i="3"/>
  <c r="H16" i="3" l="1"/>
  <c r="F17" i="3" l="1"/>
  <c r="F19" i="2"/>
  <c r="F16" i="2"/>
  <c r="F15" i="2"/>
  <c r="F14" i="2"/>
  <c r="F13" i="2"/>
  <c r="F12" i="2"/>
  <c r="G26" i="3" l="1"/>
  <c r="F15" i="4"/>
  <c r="E97" i="9"/>
  <c r="E99" i="9" s="1"/>
  <c r="E88" i="9"/>
  <c r="E73" i="9"/>
  <c r="E75" i="9" s="1"/>
  <c r="E58" i="9"/>
  <c r="E45" i="9"/>
  <c r="E33" i="9"/>
  <c r="D31" i="9"/>
  <c r="D30" i="9"/>
  <c r="D29" i="9"/>
  <c r="E17" i="9"/>
  <c r="E19" i="9" s="1"/>
  <c r="D17" i="9"/>
  <c r="D16" i="9"/>
  <c r="D15" i="9"/>
  <c r="D14" i="9"/>
  <c r="D13" i="9"/>
  <c r="D12" i="9"/>
  <c r="D11" i="9"/>
  <c r="D8" i="9"/>
  <c r="E59" i="5"/>
  <c r="F11" i="4"/>
  <c r="D10" i="7"/>
  <c r="F53" i="4"/>
  <c r="F43" i="4"/>
  <c r="E48" i="5"/>
  <c r="F18" i="2"/>
  <c r="H16" i="2"/>
  <c r="I12" i="2" s="1"/>
  <c r="I13" i="2" s="1"/>
  <c r="F17" i="2" l="1"/>
  <c r="D29" i="7"/>
  <c r="E97" i="7"/>
  <c r="E99" i="7" s="1"/>
  <c r="E88" i="7"/>
  <c r="E75" i="7"/>
  <c r="E76" i="7" s="1"/>
  <c r="F57" i="8"/>
  <c r="F30" i="8"/>
  <c r="F32" i="8"/>
  <c r="F31" i="8"/>
  <c r="E32" i="8"/>
  <c r="E31" i="8"/>
  <c r="F17" i="8"/>
  <c r="F112" i="8"/>
  <c r="F111" i="8"/>
  <c r="F100" i="8"/>
  <c r="F89" i="8"/>
  <c r="F78" i="8"/>
  <c r="F79" i="8" s="1"/>
  <c r="F81" i="8" s="1"/>
  <c r="F69" i="8"/>
  <c r="F46" i="8"/>
  <c r="E33" i="7"/>
  <c r="D30" i="7"/>
  <c r="D31" i="7"/>
  <c r="E17" i="7"/>
  <c r="E19" i="7" s="1"/>
  <c r="D14" i="7"/>
  <c r="D41" i="5"/>
  <c r="E15" i="4"/>
  <c r="F15" i="8"/>
  <c r="F13" i="8"/>
  <c r="H8" i="2"/>
  <c r="E58" i="7"/>
  <c r="E45" i="7" l="1"/>
  <c r="F54" i="4" l="1"/>
  <c r="F55" i="4"/>
  <c r="D42" i="5" l="1"/>
  <c r="D45" i="5"/>
  <c r="D48" i="5"/>
  <c r="D46" i="5"/>
  <c r="D47" i="5"/>
  <c r="D44" i="5"/>
  <c r="D43" i="5"/>
  <c r="E47" i="5" l="1"/>
  <c r="E46" i="5"/>
  <c r="E45" i="5"/>
  <c r="D40" i="5"/>
  <c r="E20" i="5"/>
  <c r="E27" i="5"/>
  <c r="E10" i="5"/>
  <c r="E49" i="5" l="1"/>
  <c r="F52" i="4" l="1"/>
  <c r="F33" i="4" l="1"/>
  <c r="F34" i="4"/>
  <c r="F32" i="4"/>
  <c r="E13" i="4"/>
  <c r="E14" i="4"/>
  <c r="F18" i="4"/>
  <c r="F19" i="4" l="1"/>
  <c r="H7" i="3"/>
  <c r="H13" i="2" l="1"/>
  <c r="H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Yousef Mohammed Lutf Mohammed Al-Shawesh</author>
  </authors>
  <commentList>
    <comment ref="F7" authorId="0" shapeId="0" xr:uid="{00000000-0006-0000-0100-000001000000}">
      <text>
        <r>
          <rPr>
            <b/>
            <sz val="10"/>
            <color indexed="81"/>
            <rFont val="Verdana"/>
            <family val="2"/>
          </rPr>
          <t>Select the earthing type</t>
        </r>
      </text>
    </comment>
    <comment ref="G11" authorId="0" shapeId="0" xr:uid="{00000000-0006-0000-0100-000002000000}">
      <text>
        <r>
          <rPr>
            <b/>
            <sz val="10"/>
            <color indexed="81"/>
            <rFont val="Verdana"/>
            <family val="2"/>
          </rPr>
          <t>Enter the value to each parameter in the cells below</t>
        </r>
      </text>
    </comment>
    <comment ref="G18" authorId="0" shapeId="0" xr:uid="{D2FE4B8B-BA2D-4D0F-BACA-768B1E5344EA}">
      <text>
        <r>
          <rPr>
            <b/>
            <sz val="9"/>
            <color indexed="81"/>
            <rFont val="Tahoma"/>
            <family val="2"/>
          </rPr>
          <t>Select number of rods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Yousef Mohammed Lutf Mohammed Al-Shawesh</author>
  </authors>
  <commentList>
    <comment ref="F7" authorId="0" shapeId="0" xr:uid="{00000000-0006-0000-0300-000001000000}">
      <text>
        <r>
          <rPr>
            <b/>
            <sz val="9"/>
            <color indexed="81"/>
            <rFont val="Tahoma"/>
            <family val="2"/>
          </rPr>
          <t>Enter the value of average RMS value of  fault current in (A)</t>
        </r>
      </text>
    </comment>
    <comment ref="F8" authorId="0" shapeId="0" xr:uid="{00000000-0006-0000-0300-000002000000}">
      <text>
        <r>
          <rPr>
            <b/>
            <sz val="9"/>
            <color indexed="81"/>
            <rFont val="Tahoma"/>
            <family val="2"/>
          </rPr>
          <t>(fixed value)   This table is only applicable for the case of 1 second</t>
        </r>
      </text>
    </comment>
    <comment ref="F9" authorId="0" shapeId="0" xr:uid="{00000000-0006-0000-0300-000003000000}">
      <text>
        <r>
          <rPr>
            <b/>
            <sz val="9"/>
            <color indexed="81"/>
            <rFont val="Tahoma"/>
            <family val="2"/>
          </rPr>
          <t>Select the material of the conductor</t>
        </r>
      </text>
    </comment>
    <comment ref="F10" authorId="0" shapeId="0" xr:uid="{00000000-0006-0000-0300-000004000000}">
      <text>
        <r>
          <rPr>
            <b/>
            <sz val="9"/>
            <color indexed="81"/>
            <rFont val="Tahoma"/>
            <family val="2"/>
          </rPr>
          <t>Select the maximum Temperature value for the conductor
It should be verified that the material is likely to be in the same location as the conductor will not be damaged or present a fire risk at the temperature selected.</t>
        </r>
      </text>
    </comment>
    <comment ref="F11" authorId="0" shapeId="0" xr:uid="{00000000-0006-0000-0300-000005000000}">
      <text>
        <r>
          <rPr>
            <b/>
            <sz val="9"/>
            <color indexed="81"/>
            <rFont val="Tahoma"/>
            <family val="2"/>
          </rPr>
          <t>This is a fixed value</t>
        </r>
      </text>
    </comment>
    <comment ref="F12" authorId="0" shapeId="0" xr:uid="{00000000-0006-0000-0300-000006000000}">
      <text>
        <r>
          <rPr>
            <b/>
            <sz val="9"/>
            <color indexed="81"/>
            <rFont val="Tahoma"/>
            <family val="2"/>
          </rPr>
          <t>Is the initial temperature of the conductor = 30°C  ?</t>
        </r>
      </text>
    </comment>
    <comment ref="F19" authorId="0" shapeId="0" xr:uid="{00000000-0006-0000-0300-000007000000}">
      <text>
        <r>
          <rPr>
            <b/>
            <sz val="9"/>
            <color indexed="81"/>
            <rFont val="Tahoma"/>
            <family val="2"/>
          </rPr>
          <t>Ensure that you select the nearst standard value which is higher than this calculated value</t>
        </r>
      </text>
    </comment>
    <comment ref="F26" authorId="0" shapeId="0" xr:uid="{00000000-0006-0000-0300-000008000000}">
      <text>
        <r>
          <rPr>
            <b/>
            <sz val="9"/>
            <color indexed="81"/>
            <rFont val="Tahoma"/>
            <family val="2"/>
          </rPr>
          <t>Select the material type of the strip</t>
        </r>
      </text>
    </comment>
    <comment ref="F27" authorId="0" shapeId="0" xr:uid="{00000000-0006-0000-0300-000009000000}">
      <text>
        <r>
          <rPr>
            <b/>
            <sz val="9"/>
            <color indexed="81"/>
            <rFont val="Tahoma"/>
            <family val="2"/>
          </rPr>
          <t>Select the duration (in seconds) of the fault current</t>
        </r>
      </text>
    </comment>
    <comment ref="F28" authorId="0" shapeId="0" xr:uid="{00000000-0006-0000-0300-00000A000000}">
      <text>
        <r>
          <rPr>
            <b/>
            <sz val="9"/>
            <color indexed="81"/>
            <rFont val="Tahoma"/>
            <family val="2"/>
          </rPr>
          <t xml:space="preserve">Select the maximum temperature (in °C) of the conductor </t>
        </r>
      </text>
    </comment>
    <comment ref="F29" authorId="0" shapeId="0" xr:uid="{00000000-0006-0000-0300-00000B000000}">
      <text>
        <r>
          <rPr>
            <b/>
            <sz val="9"/>
            <color indexed="81"/>
            <rFont val="Tahoma"/>
            <family val="2"/>
          </rPr>
          <t>Select the conductor size</t>
        </r>
      </text>
    </comment>
    <comment ref="F40" authorId="0" shapeId="0" xr:uid="{00000000-0006-0000-0300-00000C000000}">
      <text>
        <r>
          <rPr>
            <b/>
            <sz val="9"/>
            <color indexed="81"/>
            <rFont val="Tahoma"/>
            <family val="2"/>
          </rPr>
          <t>Enter the duration value of earth faults in s</t>
        </r>
      </text>
    </comment>
    <comment ref="F41" authorId="0" shapeId="0" xr:uid="{00000000-0006-0000-0300-00000D000000}">
      <text>
        <r>
          <rPr>
            <b/>
            <sz val="9"/>
            <color indexed="81"/>
            <rFont val="Tahoma"/>
            <family val="2"/>
          </rPr>
          <t>Enter the value of the soil resistivity in ohm-m</t>
        </r>
      </text>
    </comment>
    <comment ref="F49" authorId="0" shapeId="0" xr:uid="{00000000-0006-0000-0300-00000E000000}">
      <text>
        <r>
          <rPr>
            <b/>
            <sz val="9"/>
            <color indexed="81"/>
            <rFont val="Tahoma"/>
            <family val="2"/>
          </rPr>
          <t>Select the material of the earthing conductor</t>
        </r>
      </text>
    </comment>
    <comment ref="F50" authorId="0" shapeId="0" xr:uid="{00000000-0006-0000-0300-00000F000000}">
      <text>
        <r>
          <rPr>
            <b/>
            <sz val="9"/>
            <color indexed="81"/>
            <rFont val="Tahoma"/>
            <family val="2"/>
          </rPr>
          <t>Select the configuration of the earthing conductor</t>
        </r>
      </text>
    </comment>
    <comment ref="F52" authorId="0" shapeId="0" xr:uid="{00000000-0006-0000-0300-000010000000}">
      <text>
        <r>
          <rPr>
            <b/>
            <sz val="9"/>
            <color indexed="81"/>
            <rFont val="Tahoma"/>
            <family val="2"/>
          </rPr>
          <t>Allowable tolerance: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Yousef Mohammed Lutf Mohammed Al-Shawesh</author>
  </authors>
  <commentList>
    <comment ref="F7" authorId="0" shapeId="0" xr:uid="{00000000-0006-0000-0400-000001000000}">
      <text>
        <r>
          <rPr>
            <b/>
            <sz val="9"/>
            <color indexed="81"/>
            <rFont val="Tahoma"/>
            <family val="2"/>
          </rPr>
          <t>Select the earthing type</t>
        </r>
      </text>
    </comment>
    <comment ref="G11" authorId="0" shapeId="0" xr:uid="{00000000-0006-0000-0400-000002000000}">
      <text>
        <r>
          <rPr>
            <b/>
            <sz val="9"/>
            <color indexed="81"/>
            <rFont val="Tahoma"/>
            <family val="2"/>
          </rPr>
          <t>Enter the values on the orange cells below</t>
        </r>
      </text>
    </comment>
    <comment ref="F21" authorId="0" shapeId="0" xr:uid="{00000000-0006-0000-0400-000003000000}">
      <text>
        <r>
          <rPr>
            <b/>
            <sz val="9"/>
            <color indexed="81"/>
            <rFont val="Tahoma"/>
            <family val="2"/>
          </rPr>
          <t>Commonly used rod with length of 3 metres</t>
        </r>
        <r>
          <rPr>
            <sz val="9"/>
            <color indexed="81"/>
            <rFont val="Tahoma"/>
            <family val="2"/>
          </rPr>
          <t xml:space="preserve">
</t>
        </r>
      </text>
    </comment>
    <comment ref="G22" authorId="0" shapeId="0" xr:uid="{00000000-0006-0000-0400-000004000000}">
      <text>
        <r>
          <rPr>
            <b/>
            <sz val="9"/>
            <color indexed="81"/>
            <rFont val="Tahoma"/>
            <family val="2"/>
          </rPr>
          <t>Select the diameter of the rod</t>
        </r>
      </text>
    </comment>
    <comment ref="G23" authorId="0" shapeId="0" xr:uid="{00000000-0006-0000-0400-000005000000}">
      <text>
        <r>
          <rPr>
            <b/>
            <sz val="9"/>
            <color indexed="81"/>
            <rFont val="Tahoma"/>
            <family val="2"/>
          </rPr>
          <t>Enter the resistivity value in (ohm-cm)</t>
        </r>
      </text>
    </comment>
    <comment ref="G24" authorId="0" shapeId="0" xr:uid="{00000000-0006-0000-0400-000006000000}">
      <text>
        <r>
          <rPr>
            <b/>
            <sz val="9"/>
            <color indexed="81"/>
            <rFont val="Tahoma"/>
            <family val="2"/>
          </rPr>
          <t>Select the number of rods used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Yousef Mohammed Lutf Mohammed Al-Shawesh</author>
  </authors>
  <commentList>
    <comment ref="E23" authorId="0" shapeId="0" xr:uid="{00000000-0006-0000-0500-000001000000}">
      <text>
        <r>
          <rPr>
            <b/>
            <sz val="9"/>
            <color indexed="81"/>
            <rFont val="Tahoma"/>
            <family val="2"/>
          </rPr>
          <t>Select the rod model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Yousef Mohammed Lutf Mohammed Al-Shawesh</author>
  </authors>
  <commentList>
    <comment ref="E5" authorId="0" shapeId="0" xr:uid="{00000000-0006-0000-0600-000001000000}">
      <text>
        <r>
          <rPr>
            <b/>
            <sz val="9"/>
            <color indexed="81"/>
            <rFont val="Tahoma"/>
            <family val="2"/>
          </rPr>
          <t>Select the type of material of the electrode</t>
        </r>
      </text>
    </comment>
    <comment ref="E6" authorId="0" shapeId="0" xr:uid="{00000000-0006-0000-0600-000002000000}">
      <text>
        <r>
          <rPr>
            <b/>
            <sz val="9"/>
            <color indexed="81"/>
            <rFont val="Tahoma"/>
            <family val="2"/>
          </rPr>
          <t>Select the surface type</t>
        </r>
      </text>
    </comment>
    <comment ref="E7" authorId="0" shapeId="0" xr:uid="{00000000-0006-0000-0600-000003000000}">
      <text>
        <r>
          <rPr>
            <b/>
            <sz val="9"/>
            <color indexed="81"/>
            <rFont val="Tahoma"/>
            <family val="2"/>
          </rPr>
          <t>Select the shape of the electrode</t>
        </r>
      </text>
    </comment>
    <comment ref="E16" authorId="0" shapeId="0" xr:uid="{00000000-0006-0000-0600-000004000000}">
      <text>
        <r>
          <rPr>
            <b/>
            <sz val="9"/>
            <color indexed="81"/>
            <rFont val="Tahoma"/>
            <family val="2"/>
          </rPr>
          <t>Select the protection type against corrosion</t>
        </r>
      </text>
    </comment>
    <comment ref="E17" authorId="0" shapeId="0" xr:uid="{00000000-0006-0000-0600-000005000000}">
      <text>
        <r>
          <rPr>
            <b/>
            <sz val="9"/>
            <color indexed="81"/>
            <rFont val="Tahoma"/>
            <family val="2"/>
          </rPr>
          <t>Select the material of the conductor</t>
        </r>
        <r>
          <rPr>
            <sz val="9"/>
            <color indexed="81"/>
            <rFont val="Tahoma"/>
            <family val="2"/>
          </rPr>
          <t xml:space="preserve">
</t>
        </r>
      </text>
    </comment>
    <comment ref="E18" authorId="0" shapeId="0" xr:uid="{00000000-0006-0000-0600-000006000000}">
      <text>
        <r>
          <rPr>
            <b/>
            <sz val="9"/>
            <color indexed="81"/>
            <rFont val="Tahoma"/>
            <family val="2"/>
          </rPr>
          <t>Select the mechanical protection preference</t>
        </r>
      </text>
    </comment>
    <comment ref="E24" authorId="0" shapeId="0" xr:uid="{00000000-0006-0000-0600-000007000000}">
      <text>
        <r>
          <rPr>
            <b/>
            <sz val="9"/>
            <color indexed="81"/>
            <rFont val="Tahoma"/>
            <family val="2"/>
          </rPr>
          <t>Select the type of connection</t>
        </r>
      </text>
    </comment>
    <comment ref="E25" authorId="0" shapeId="0" xr:uid="{00000000-0006-0000-0600-000008000000}">
      <text>
        <r>
          <rPr>
            <b/>
            <sz val="9"/>
            <color indexed="81"/>
            <rFont val="Tahoma"/>
            <family val="2"/>
          </rPr>
          <t xml:space="preserve">Select the protection preference for the conductor </t>
        </r>
      </text>
    </comment>
    <comment ref="E34" authorId="0" shapeId="0" xr:uid="{00000000-0006-0000-0600-000009000000}">
      <text>
        <r>
          <rPr>
            <b/>
            <sz val="9"/>
            <color indexed="81"/>
            <rFont val="Tahoma"/>
            <family val="2"/>
          </rPr>
          <t>Enter the value of the cross-sectional area of the line conductor</t>
        </r>
      </text>
    </comment>
    <comment ref="E35" authorId="0" shapeId="0" xr:uid="{00000000-0006-0000-0600-00000A000000}">
      <text>
        <r>
          <rPr>
            <b/>
            <sz val="9"/>
            <color indexed="81"/>
            <rFont val="Tahoma"/>
            <family val="2"/>
          </rPr>
          <t>Are the materials similar for both protective conductor and line conductor?</t>
        </r>
      </text>
    </comment>
    <comment ref="E36" authorId="0" shapeId="0" xr:uid="{00000000-0006-0000-0600-00000B000000}">
      <text>
        <r>
          <rPr>
            <b/>
            <sz val="9"/>
            <color indexed="81"/>
            <rFont val="Tahoma"/>
            <family val="2"/>
          </rPr>
          <t>Select the line conductor material</t>
        </r>
      </text>
    </comment>
    <comment ref="E37" authorId="0" shapeId="0" xr:uid="{00000000-0006-0000-0600-00000C000000}">
      <text>
        <r>
          <rPr>
            <b/>
            <sz val="9"/>
            <color indexed="81"/>
            <rFont val="Tahoma"/>
            <family val="2"/>
          </rPr>
          <t>Fixed value</t>
        </r>
      </text>
    </comment>
    <comment ref="E38" authorId="0" shapeId="0" xr:uid="{00000000-0006-0000-0600-00000D000000}">
      <text>
        <r>
          <rPr>
            <b/>
            <sz val="9"/>
            <color indexed="81"/>
            <rFont val="Tahoma"/>
            <family val="2"/>
          </rPr>
          <t>Select the protective line material</t>
        </r>
      </text>
    </comment>
    <comment ref="E40" authorId="0" shapeId="0" xr:uid="{00000000-0006-0000-0600-00000E000000}">
      <text>
        <r>
          <rPr>
            <b/>
            <sz val="9"/>
            <color indexed="81"/>
            <rFont val="Tahoma"/>
            <family val="2"/>
          </rPr>
          <t>Select the conductor insulation type</t>
        </r>
      </text>
    </comment>
    <comment ref="E41" authorId="0" shapeId="0" xr:uid="{00000000-0006-0000-0600-00000F000000}">
      <text>
        <r>
          <rPr>
            <b/>
            <sz val="9"/>
            <color indexed="81"/>
            <rFont val="Tahoma"/>
            <family val="2"/>
          </rPr>
          <t>Is the cross sectional area &gt; 300 mm² for the PVC insulated conductor ?</t>
        </r>
      </text>
    </comment>
    <comment ref="E42" authorId="0" shapeId="0" xr:uid="{00000000-0006-0000-0600-000010000000}">
      <text>
        <r>
          <rPr>
            <b/>
            <sz val="9"/>
            <color indexed="81"/>
            <rFont val="Tahoma"/>
            <family val="2"/>
          </rPr>
          <t>Select the type of Cable Covering</t>
        </r>
      </text>
    </comment>
    <comment ref="E43" authorId="0" shapeId="0" xr:uid="{00000000-0006-0000-0600-000011000000}">
      <text>
        <r>
          <rPr>
            <b/>
            <sz val="9"/>
            <color indexed="81"/>
            <rFont val="Tahoma"/>
            <family val="2"/>
          </rPr>
          <t>Select the condition</t>
        </r>
      </text>
    </comment>
    <comment ref="E44" authorId="0" shapeId="0" xr:uid="{00000000-0006-0000-0600-000012000000}">
      <text>
        <r>
          <rPr>
            <b/>
            <sz val="9"/>
            <color indexed="81"/>
            <rFont val="Tahoma"/>
            <family val="2"/>
          </rPr>
          <t>Select the type of Cable Insulation</t>
        </r>
      </text>
    </comment>
    <comment ref="D53" authorId="0" shapeId="0" xr:uid="{00000000-0006-0000-0600-000013000000}">
      <text>
        <r>
          <rPr>
            <b/>
            <sz val="9"/>
            <color indexed="81"/>
            <rFont val="Tahoma"/>
            <family val="2"/>
          </rPr>
          <t>applicable only for a disconnection time not exceeding 5 s</t>
        </r>
      </text>
    </comment>
    <comment ref="E55" authorId="0" shapeId="0" xr:uid="{00000000-0006-0000-0600-000014000000}">
      <text>
        <r>
          <rPr>
            <b/>
            <sz val="9"/>
            <color indexed="81"/>
            <rFont val="Tahoma"/>
            <family val="2"/>
          </rPr>
          <t xml:space="preserve">Enter the (r.m.s) value of the fault current </t>
        </r>
        <r>
          <rPr>
            <sz val="9"/>
            <color indexed="81"/>
            <rFont val="Tahoma"/>
            <family val="2"/>
          </rPr>
          <t xml:space="preserve">
</t>
        </r>
      </text>
    </comment>
    <comment ref="E56" authorId="0" shapeId="0" xr:uid="{00000000-0006-0000-0600-000015000000}">
      <text>
        <r>
          <rPr>
            <b/>
            <sz val="9"/>
            <color indexed="81"/>
            <rFont val="Tahoma"/>
            <family val="2"/>
          </rPr>
          <t>applicable only for disconnection times not exceeding 5 s</t>
        </r>
        <r>
          <rPr>
            <sz val="9"/>
            <color indexed="81"/>
            <rFont val="Tahoma"/>
            <family val="2"/>
          </rPr>
          <t xml:space="preserve">
</t>
        </r>
      </text>
    </comment>
    <comment ref="E57" authorId="0" shapeId="0" xr:uid="{00000000-0006-0000-0600-000016000000}">
      <text>
        <r>
          <rPr>
            <b/>
            <sz val="9"/>
            <color indexed="81"/>
            <rFont val="Tahoma"/>
            <family val="2"/>
          </rPr>
          <t>Select the material of the conductro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Yousef Mohammed Lutf Mohammed Al-Shawesh</author>
  </authors>
  <commentList>
    <comment ref="D7" authorId="0" shapeId="0" xr:uid="{BE16A36B-CC90-49C7-90CA-62FAE114A806}">
      <text>
        <r>
          <rPr>
            <b/>
            <sz val="9"/>
            <color indexed="81"/>
            <rFont val="Tahoma"/>
            <family val="2"/>
          </rPr>
          <t>Select the type of earthing</t>
        </r>
      </text>
    </comment>
    <comment ref="E11" authorId="0" shapeId="0" xr:uid="{C8549830-A96F-47A0-A6C9-1EDC4A19D4C6}">
      <text>
        <r>
          <rPr>
            <b/>
            <sz val="9"/>
            <color indexed="81"/>
            <rFont val="Tahoma"/>
            <family val="2"/>
          </rPr>
          <t>Select the earthing resistance</t>
        </r>
      </text>
    </comment>
    <comment ref="E12" authorId="0" shapeId="0" xr:uid="{6FDD68C9-9211-43E9-9393-675E9C29952B}">
      <text>
        <r>
          <rPr>
            <b/>
            <sz val="9"/>
            <color indexed="81"/>
            <rFont val="Tahoma"/>
            <family val="2"/>
          </rPr>
          <t>Select soil resistivity</t>
        </r>
      </text>
    </comment>
    <comment ref="E13" authorId="0" shapeId="0" xr:uid="{E6B398C9-E8F0-43E9-A5D1-740EFC140209}">
      <text>
        <r>
          <rPr>
            <b/>
            <sz val="9"/>
            <color indexed="81"/>
            <rFont val="Tahoma"/>
            <family val="2"/>
          </rPr>
          <t>Select rod diameter</t>
        </r>
      </text>
    </comment>
  </commentList>
</comments>
</file>

<file path=xl/sharedStrings.xml><?xml version="1.0" encoding="utf-8"?>
<sst xmlns="http://schemas.openxmlformats.org/spreadsheetml/2006/main" count="473" uniqueCount="337">
  <si>
    <t>Reinforced concrete foundation</t>
  </si>
  <si>
    <t>Vertical electrodes arranged in a hollow square</t>
  </si>
  <si>
    <t>Four strips set in a cruciform</t>
  </si>
  <si>
    <t>Two strips set at right angles to each other meeting at one corner</t>
  </si>
  <si>
    <t>Three rods at the vertices of an equilateral triangle</t>
  </si>
  <si>
    <t>Mesh</t>
  </si>
  <si>
    <t>Rod electrode</t>
  </si>
  <si>
    <t>Parallel connection of aligned rods</t>
  </si>
  <si>
    <t>Strip straight run or round conductor electrodes</t>
  </si>
  <si>
    <t>Electrode encased in low resistivity material (eg. conducting concrete)</t>
  </si>
  <si>
    <t>Type</t>
  </si>
  <si>
    <t>Plate</t>
  </si>
  <si>
    <t>ohm (Ω)</t>
  </si>
  <si>
    <t>Remarks</t>
  </si>
  <si>
    <t>Three strips set at 120° meeting at the star point all of equal length</t>
  </si>
  <si>
    <t>n</t>
  </si>
  <si>
    <t>8   (octagon form)</t>
  </si>
  <si>
    <t>8   (square form)</t>
  </si>
  <si>
    <t>input values</t>
  </si>
  <si>
    <t>Output Value: Resistance</t>
  </si>
  <si>
    <t>Earthing Resistance Calculations based on BS 7430</t>
  </si>
  <si>
    <t>Hemisphere</t>
  </si>
  <si>
    <t>One ground rod</t>
  </si>
  <si>
    <t>Two ground rods   s &lt; L</t>
  </si>
  <si>
    <t>Two ground rods   s &gt; L</t>
  </si>
  <si>
    <t>Buried horizontal wire</t>
  </si>
  <si>
    <t>Three-point star</t>
  </si>
  <si>
    <t>Four-point star</t>
  </si>
  <si>
    <t>Eight-point star</t>
  </si>
  <si>
    <t>Ring of wire</t>
  </si>
  <si>
    <t>Buried horizontal strip</t>
  </si>
  <si>
    <t>Buried horizontal round plate</t>
  </si>
  <si>
    <t>Buried vertical round plate</t>
  </si>
  <si>
    <t>TypeIEEE</t>
  </si>
  <si>
    <t>Earthing Resistance Calculations based on IEEE Green Book</t>
  </si>
  <si>
    <t>Right-angle turn of wire</t>
  </si>
  <si>
    <t>Six-point star</t>
  </si>
  <si>
    <r>
      <rPr>
        <b/>
        <sz val="12"/>
        <color rgb="FFFF0000"/>
        <rFont val="Times New Roman"/>
        <family val="1"/>
      </rPr>
      <t xml:space="preserve">Step 2. </t>
    </r>
    <r>
      <rPr>
        <sz val="12"/>
        <color rgb="FFFF0000"/>
        <rFont val="Times New Roman"/>
        <family val="1"/>
      </rPr>
      <t>Enter the values of the parameters below in the highlighted cells:</t>
    </r>
  </si>
  <si>
    <r>
      <rPr>
        <b/>
        <sz val="14"/>
        <color rgb="FFFF0000"/>
        <rFont val="Times New Roman"/>
        <family val="1"/>
      </rPr>
      <t>Step 2.</t>
    </r>
    <r>
      <rPr>
        <sz val="14"/>
        <color rgb="FFFF0000"/>
        <rFont val="Times New Roman"/>
        <family val="1"/>
      </rPr>
      <t xml:space="preserve"> Enter the values of the parameters below in the highlighted cells:</t>
    </r>
  </si>
  <si>
    <t>Material</t>
  </si>
  <si>
    <t>Copper</t>
  </si>
  <si>
    <t>Aluminium</t>
  </si>
  <si>
    <t>Steel</t>
  </si>
  <si>
    <t>Max T</t>
  </si>
  <si>
    <t>Joint</t>
  </si>
  <si>
    <t>Welded</t>
  </si>
  <si>
    <t>Brazed</t>
  </si>
  <si>
    <t>Bolted</t>
  </si>
  <si>
    <t>Soft soldered</t>
  </si>
  <si>
    <t>The average fault current in A (R.M.S)</t>
  </si>
  <si>
    <t>Fault current duration in seconds</t>
  </si>
  <si>
    <t xml:space="preserve">Maximum Temperature (°C)  </t>
  </si>
  <si>
    <t>yes</t>
  </si>
  <si>
    <t>initial conductor temperature conductor is 30°C</t>
  </si>
  <si>
    <t>Metal Material</t>
  </si>
  <si>
    <t>Material of the strip</t>
  </si>
  <si>
    <t>Duration of fault current in (seconds)</t>
  </si>
  <si>
    <t>Maximum conductor Temperature</t>
  </si>
  <si>
    <t>Size of conductor</t>
  </si>
  <si>
    <t>20 x 3</t>
  </si>
  <si>
    <t>25 x 3</t>
  </si>
  <si>
    <t>25 x 4</t>
  </si>
  <si>
    <t>25 x 6</t>
  </si>
  <si>
    <t xml:space="preserve">31 x 3 </t>
  </si>
  <si>
    <t>31 x 6</t>
  </si>
  <si>
    <t>38 x 3</t>
  </si>
  <si>
    <t>38 x 5</t>
  </si>
  <si>
    <t>38 x 6</t>
  </si>
  <si>
    <t>50 x 3</t>
  </si>
  <si>
    <t xml:space="preserve">50 x 4 </t>
  </si>
  <si>
    <t>50 x 6</t>
  </si>
  <si>
    <t xml:space="preserve">50 x 6 </t>
  </si>
  <si>
    <t>60 x 6</t>
  </si>
  <si>
    <t>80 x 6</t>
  </si>
  <si>
    <t>The average value of fault current in (kA)</t>
  </si>
  <si>
    <t>T</t>
  </si>
  <si>
    <t>YES</t>
  </si>
  <si>
    <t>NO</t>
  </si>
  <si>
    <t>t      the duration of earth fault in seconds</t>
  </si>
  <si>
    <t>The current density at the surface of earth electrode in (A/m²)</t>
  </si>
  <si>
    <t>Tin plated copper</t>
  </si>
  <si>
    <t>Aluminium alloy</t>
  </si>
  <si>
    <t>Galvanized steel</t>
  </si>
  <si>
    <t>Stainless steel</t>
  </si>
  <si>
    <t>Configuration</t>
  </si>
  <si>
    <t>Solid tape</t>
  </si>
  <si>
    <t>Solid round</t>
  </si>
  <si>
    <t>Stranded</t>
  </si>
  <si>
    <t>minimum size of the earthing conductor</t>
  </si>
  <si>
    <t>M</t>
  </si>
  <si>
    <t>Surface</t>
  </si>
  <si>
    <t>Bare</t>
  </si>
  <si>
    <t xml:space="preserve">Hot.dip.galvanized.or.Stainless </t>
  </si>
  <si>
    <t>Sections</t>
  </si>
  <si>
    <t>Pipe</t>
  </si>
  <si>
    <t>Hot.dip.galvanized.or.Stainless</t>
  </si>
  <si>
    <t>Shape</t>
  </si>
  <si>
    <t xml:space="preserve">Copper.Sheathed </t>
  </si>
  <si>
    <t>With.electrodeposited.copper.coating</t>
  </si>
  <si>
    <t>Strip</t>
  </si>
  <si>
    <t>Tin.coated</t>
  </si>
  <si>
    <t>Rope</t>
  </si>
  <si>
    <t>Zinc.coated</t>
  </si>
  <si>
    <t>Minimum Size</t>
  </si>
  <si>
    <t>Round wire for surface electrode with depth not exceeding 0.5m</t>
  </si>
  <si>
    <t>Round wire for surface electrode, depth not exceeding 0.5m</t>
  </si>
  <si>
    <t>Strip with rounded edges</t>
  </si>
  <si>
    <t>Round rod for deeep earth electrodes</t>
  </si>
  <si>
    <t>Round rod for deep earth electrodes</t>
  </si>
  <si>
    <t>Pipe.</t>
  </si>
  <si>
    <t>Round rod for deep earth electrode</t>
  </si>
  <si>
    <t>Rope,</t>
  </si>
  <si>
    <t>Copper.Sheathed</t>
  </si>
  <si>
    <t>Strip (as rolled strip or slit strip with rounded edges)</t>
  </si>
  <si>
    <t>Earthing Electrode</t>
  </si>
  <si>
    <t>Ty</t>
  </si>
  <si>
    <t>Protected against corrosion</t>
  </si>
  <si>
    <t>Not protected against corrosion</t>
  </si>
  <si>
    <t>Iron</t>
  </si>
  <si>
    <t>Mate</t>
  </si>
  <si>
    <t>Mech</t>
  </si>
  <si>
    <t>Mechanically protected</t>
  </si>
  <si>
    <t>Mechanically unprotected</t>
  </si>
  <si>
    <t xml:space="preserve"> Minimum cross-sectional area:</t>
  </si>
  <si>
    <t>Connection</t>
  </si>
  <si>
    <t>Two (2) Exposed– conductive– parts</t>
  </si>
  <si>
    <t>Exposed–conductive–part to extraneous–conductive– part</t>
  </si>
  <si>
    <t>Two (2) extraneous–parts</t>
  </si>
  <si>
    <t>Prot</t>
  </si>
  <si>
    <t>Sheathed or Mechanically Protected</t>
  </si>
  <si>
    <t>Not Mechanically Protected</t>
  </si>
  <si>
    <t>Protection Preference</t>
  </si>
  <si>
    <t>Minimum cross-sectional area</t>
  </si>
  <si>
    <t>Copper.</t>
  </si>
  <si>
    <t>Supplementary Equipotential Bonding Conductor</t>
  </si>
  <si>
    <t>Current density at the surface of earth electrode</t>
  </si>
  <si>
    <t>Selection of the material for an earthing conductor with respect to corrosion and mechanical strength</t>
  </si>
  <si>
    <t>Corrosion Protection</t>
  </si>
  <si>
    <t>Mechanical Protection</t>
  </si>
  <si>
    <t>Protective conductors</t>
  </si>
  <si>
    <t>Cross-sectional area of line conductor (mm²)</t>
  </si>
  <si>
    <t>Minimum cross-sectional area of the corresponding protective conductor (mm²)</t>
  </si>
  <si>
    <t>Simialr</t>
  </si>
  <si>
    <t>Is the protective conductor is of the same material as the line conductor?</t>
  </si>
  <si>
    <t xml:space="preserve">Value of fault current (r.m.s) in A </t>
  </si>
  <si>
    <t>Operating time of the protective device for automatic disconnection in s</t>
  </si>
  <si>
    <t xml:space="preserve">Conductor Material </t>
  </si>
  <si>
    <t>Ma</t>
  </si>
  <si>
    <t>Lead</t>
  </si>
  <si>
    <t>Material of Line Conductor</t>
  </si>
  <si>
    <t>Case where a typical electrode of 3 m long is used</t>
  </si>
  <si>
    <t>Dia</t>
  </si>
  <si>
    <t>Diameter in (mm)</t>
  </si>
  <si>
    <t>Soil Resistivity in (ohm-cm)</t>
  </si>
  <si>
    <t>Number of rods</t>
  </si>
  <si>
    <t>Resistance value in ohm (Ω)</t>
  </si>
  <si>
    <t>Num</t>
  </si>
  <si>
    <t>Material of Protective Conductor</t>
  </si>
  <si>
    <t>Protective Conductor Type</t>
  </si>
  <si>
    <t>insulated protective conductors not incorporated in cables and not bunched with other cables</t>
  </si>
  <si>
    <t>protective conductors as a core incorporated in a cable or bunched with other cables or insulated conductors</t>
  </si>
  <si>
    <t>bare protective conductors in contact with cable covering but not bunched with other cables</t>
  </si>
  <si>
    <t>protective conductors as a metallic layer of a cable e.g. armour, metallic sheath, concentric conductor, etc.</t>
  </si>
  <si>
    <t>Typ</t>
  </si>
  <si>
    <t>bare conductors where there is no risk of damage to any neighbouring material by the temperature indicated</t>
  </si>
  <si>
    <t>Insulation</t>
  </si>
  <si>
    <t>70 °C PVC</t>
  </si>
  <si>
    <t>90 °C PVC</t>
  </si>
  <si>
    <t>90 °C thermosetting</t>
  </si>
  <si>
    <t>60 °C rubber</t>
  </si>
  <si>
    <t>Covering</t>
  </si>
  <si>
    <t>PVC</t>
  </si>
  <si>
    <t>Polyethylene</t>
  </si>
  <si>
    <t>CSP</t>
  </si>
  <si>
    <t>Cableinsul</t>
  </si>
  <si>
    <t>Mineral bare sheath</t>
  </si>
  <si>
    <t>85 °C rubber</t>
  </si>
  <si>
    <t>Mineral PVC covered</t>
  </si>
  <si>
    <t>Visible and in restricted area</t>
  </si>
  <si>
    <t>Normal conditions</t>
  </si>
  <si>
    <t>Fire risk</t>
  </si>
  <si>
    <t>Condition</t>
  </si>
  <si>
    <t>Factor "k" value of the line conductor</t>
  </si>
  <si>
    <t>Silicone rubber</t>
  </si>
  <si>
    <t>Case where the ground is a dual nature medium</t>
  </si>
  <si>
    <t>Multiple concrete-encased rebar grounding electrodes in Hollow rectangular configuration</t>
  </si>
  <si>
    <t>Earthing Conductor (buried in the soil)</t>
  </si>
  <si>
    <t>A) Method 1</t>
  </si>
  <si>
    <t>B) Method 2</t>
  </si>
  <si>
    <t>Type of joint suitable for use at the temperature selected</t>
  </si>
  <si>
    <t xml:space="preserve">Earthing System’s Design in Presence of Non-uniform Soil </t>
  </si>
  <si>
    <t xml:space="preserve">A Practical Approach for Determining the Ground Resistance of Grounding Grids </t>
  </si>
  <si>
    <t xml:space="preserve">A SIMPLIFIED METHOD FOR CALCULATING THE IMPULSE RESISTANCE OF VERTICAL GROUNDING RODS </t>
  </si>
  <si>
    <t>Substation grounding system resistance calculations using a FEM approach</t>
  </si>
  <si>
    <t xml:space="preserve">Homogeneous earth structure </t>
  </si>
  <si>
    <t>Horizontal strip electrode</t>
  </si>
  <si>
    <t>E</t>
  </si>
  <si>
    <t>Vertical electrodes</t>
  </si>
  <si>
    <t>Horizontal electrodes</t>
  </si>
  <si>
    <t>Step 2. Enter the values of the parameters below in the highlighted cells:</t>
  </si>
  <si>
    <t xml:space="preserve">How to design an effective earthing system to ensure the safety of the people </t>
  </si>
  <si>
    <t>Resistance of a single vertical earth electrode to achieve R&lt;=5 ohms</t>
  </si>
  <si>
    <t xml:space="preserve">Alternative earthing calculations for grids and rods </t>
  </si>
  <si>
    <t>DESIGN AND CALCULATION OF AN EARTH ELECTRODE</t>
  </si>
  <si>
    <t>Cylinder</t>
  </si>
  <si>
    <r>
      <t xml:space="preserve">R.M.S Current density for 1 second duration, </t>
    </r>
    <r>
      <rPr>
        <b/>
        <i/>
        <sz val="11"/>
        <color theme="1"/>
        <rFont val="Verdana"/>
        <family val="2"/>
      </rPr>
      <t>k</t>
    </r>
    <r>
      <rPr>
        <b/>
        <sz val="11"/>
        <color theme="1"/>
        <rFont val="Verdana"/>
        <family val="2"/>
      </rPr>
      <t xml:space="preserve"> (A/mm²) with initial conductor temperature of 30°C</t>
    </r>
  </si>
  <si>
    <t>IEC 60364 Conductor Selection</t>
  </si>
  <si>
    <t>p      the resistivity of the soil in ohm metres (Ωm)</t>
  </si>
  <si>
    <t>The Use of Concrete Enclosed Reinforcing Rods as Grounding Electrodes</t>
  </si>
  <si>
    <t>Concrete</t>
  </si>
  <si>
    <t>Basic formula for Concrete-encased Rod Electrode</t>
  </si>
  <si>
    <t>Step1. Select the type of concrete-encased grounding</t>
  </si>
  <si>
    <t>L      the length of rod in (m)</t>
  </si>
  <si>
    <t>Grounding resistance in ohms (Ω)</t>
  </si>
  <si>
    <t>Turbine</t>
  </si>
  <si>
    <t>Sunde's equation for electrode</t>
  </si>
  <si>
    <t>Propose novel equivalent equation by author</t>
  </si>
  <si>
    <t>p      the soil resistivity in (Ω-m)</t>
  </si>
  <si>
    <t>EQUIVALENT EQUATION OF EARTH RESISTANCE FOR RING ELECTRODE OF WIND TURBINE</t>
  </si>
  <si>
    <t>d      the burying depth of the ring in (m)</t>
  </si>
  <si>
    <t>Earth Resistance (Ω)</t>
  </si>
  <si>
    <t>A      the area occupied by the earth electrode (mm²)</t>
  </si>
  <si>
    <t>h      the depth of the earth electrode (m)</t>
  </si>
  <si>
    <t>pk    the uniform soil with resistivity (Ω-m)</t>
  </si>
  <si>
    <t>Earthig Resistance (Ω)</t>
  </si>
  <si>
    <t>LT    the total buried length of conductors (m)</t>
  </si>
  <si>
    <t>proposed a practical method for earthing systems’ design in presence of two-layer soil</t>
  </si>
  <si>
    <t>Impulse Resistance (Ω)</t>
  </si>
  <si>
    <t>p    the soil resistivity (Ω-m)</t>
  </si>
  <si>
    <t xml:space="preserve"> due to the low current resistance of the grounding rod </t>
  </si>
  <si>
    <t>p        the soil resistivity (Ω-m)</t>
  </si>
  <si>
    <t>re      effective radius varying with the current crest value impulse current (m)</t>
  </si>
  <si>
    <t>l         the length of rod (m)</t>
  </si>
  <si>
    <t>L     combined length of conductor forming a grid (m)</t>
  </si>
  <si>
    <t>r     the radius of a thin circular plate (m)</t>
  </si>
  <si>
    <t>h     the burial depth (m)</t>
  </si>
  <si>
    <t>A     the grid or rod array area (m²)</t>
  </si>
  <si>
    <t>Grid Resistance based on both IEEE80 and BS 7354 (Ω)</t>
  </si>
  <si>
    <t>Grid Resistance (given in another formula by IEEE-80) (Ω)</t>
  </si>
  <si>
    <t>Grid Resistance "simplest formula for a grid" (Ω)</t>
  </si>
  <si>
    <t>L    the length of the rod (m)</t>
  </si>
  <si>
    <t>Single rod resistance</t>
  </si>
  <si>
    <t>rod</t>
  </si>
  <si>
    <t>Ellipsoid</t>
  </si>
  <si>
    <t>Uniform current</t>
  </si>
  <si>
    <t>Resistance of the rod (Ω)</t>
  </si>
  <si>
    <t>d    the diameter of the rod (m)</t>
  </si>
  <si>
    <t>r     the radius of an equivalent hemisphere (m)</t>
  </si>
  <si>
    <t>ground resistance of grounding grids with square meshes in uniform soils can be calculated</t>
  </si>
  <si>
    <t>p      the resistivity of the soil (Ω-m)</t>
  </si>
  <si>
    <t>A      the area of one mesh of the grounding grid (m²)</t>
  </si>
  <si>
    <t>L       the number of meshes in direction X</t>
  </si>
  <si>
    <t>W     the number of meshes in direction Y</t>
  </si>
  <si>
    <t>Ground Resistance (Ω)</t>
  </si>
  <si>
    <t>Grid</t>
  </si>
  <si>
    <t xml:space="preserve">ρ     the uniform resistivity of the soil (Ω·m) </t>
  </si>
  <si>
    <t xml:space="preserve">l      the active length of the rod (m) </t>
  </si>
  <si>
    <t xml:space="preserve">d     the diameter of the rod (m) </t>
  </si>
  <si>
    <t>Single Rod Resistance in uniform soil (Ω)</t>
  </si>
  <si>
    <t>Resistance for the grid formed with few electrodes in parallel</t>
  </si>
  <si>
    <t xml:space="preserve">h     buried depth (m) </t>
  </si>
  <si>
    <t>p     soil resistivity (Ω-m)</t>
  </si>
  <si>
    <t>L     the buried length of the electrode (m)</t>
  </si>
  <si>
    <t>d    the diameter of the electrode (m)</t>
  </si>
  <si>
    <t>s      distance between 2 parallel electrode (m)</t>
  </si>
  <si>
    <t>S     distance from one electrode to the image of the other (m)</t>
  </si>
  <si>
    <t xml:space="preserve">b     equivalent radius off the electrode at the surface (m) </t>
  </si>
  <si>
    <t>Resistance of mesh grid consisting of multiple horizontal conductors buried</t>
  </si>
  <si>
    <t>h2   effictive burial depth (m)</t>
  </si>
  <si>
    <t>Grid Resistance (Ω)</t>
  </si>
  <si>
    <t>Grid consisting of a vertical electrode in the ground</t>
  </si>
  <si>
    <t>A Systematic Approach to Safe and Effective Earthing System Design</t>
  </si>
  <si>
    <t>p     the soil resistivity (Ω-m)</t>
  </si>
  <si>
    <t>Earthing Resistance (Ω)</t>
  </si>
  <si>
    <t>a     the nominal diameter of earthing electrode (m)</t>
  </si>
  <si>
    <t>N    the number of joint electrodes (vertically installed) for individual point P</t>
  </si>
  <si>
    <t>Ln   the nominal length of earthing electrode (m)</t>
  </si>
  <si>
    <t>Lr    the total length of vertical earthing electrode (m)</t>
  </si>
  <si>
    <t>Horizontal buried conductors resistance developed by Schwarz</t>
  </si>
  <si>
    <t>ρ    Resistivity of the soil layer in which the grid is buried (Ω-m)</t>
  </si>
  <si>
    <t xml:space="preserve"> h   the depth of burial (m)</t>
  </si>
  <si>
    <t>L     Total length of grid conductor (m)</t>
  </si>
  <si>
    <t>A    Grid area (m²)</t>
  </si>
  <si>
    <t>K1  Grid geometry related constant</t>
  </si>
  <si>
    <t>K2  Grid geometry related constant</t>
  </si>
  <si>
    <t>Resistance of the electrode system (Ω)</t>
  </si>
  <si>
    <t>Single rod resistance in uniform soil in Homogeneous earth structure</t>
  </si>
  <si>
    <t>l      the active length of the rod (m)</t>
  </si>
  <si>
    <t>d     the diameter of the rod (m)</t>
  </si>
  <si>
    <t>Grounding Resistance (Ω)</t>
  </si>
  <si>
    <t>Another expression proposed by Schwarz, Grounding Resistance  (Ω)</t>
  </si>
  <si>
    <t>p     uniform resistivity of the soil (Ω-m)</t>
  </si>
  <si>
    <t>L    the buried length of the electrode (m)</t>
  </si>
  <si>
    <t>d    the diameter of the driven electrode (m)</t>
  </si>
  <si>
    <t>p    the soil  resistivity (Ω-m)</t>
  </si>
  <si>
    <t>Gomez</t>
  </si>
  <si>
    <t>Buried straight rod or wire</t>
  </si>
  <si>
    <t>Buried circle of wire</t>
  </si>
  <si>
    <t>Vertical rod</t>
  </si>
  <si>
    <t>h     depth of burial (cm)</t>
  </si>
  <si>
    <t>r      resistivity (Ω-cm)</t>
  </si>
  <si>
    <t>L     total length (cm)</t>
  </si>
  <si>
    <t>d     diameter of the rod (cm)</t>
  </si>
  <si>
    <t>r1     the resistivity of the upper layer (Ω-cm)</t>
  </si>
  <si>
    <t>L     total length of the rod (cm)</t>
  </si>
  <si>
    <t>r2     the resistivity of the subsoil (Ω-cm)</t>
  </si>
  <si>
    <t>L'    effective length of the ground rod (cm)</t>
  </si>
  <si>
    <t>Case where a vertical rod is driven through a high-resistivity superficial layer into a lower resistivity subsoil</t>
  </si>
  <si>
    <t>Size of the Earthing Conductor</t>
  </si>
  <si>
    <t>a      the radius of a cross-section of the ring in (mm²)</t>
  </si>
  <si>
    <t>Corresponding conductor cross-sectional area in (mm²)</t>
  </si>
  <si>
    <r>
      <rPr>
        <b/>
        <sz val="14"/>
        <color rgb="FFFF0000"/>
        <rFont val="Times New Roman"/>
        <family val="1"/>
      </rPr>
      <t xml:space="preserve">Step 1. </t>
    </r>
    <r>
      <rPr>
        <sz val="14"/>
        <color rgb="FFFF0000"/>
        <rFont val="Times New Roman"/>
        <family val="1"/>
      </rPr>
      <t>Select the type of earthing from the drop-down list below:</t>
    </r>
  </si>
  <si>
    <r>
      <rPr>
        <b/>
        <sz val="12"/>
        <color rgb="FFFF0000"/>
        <rFont val="Times New Roman"/>
        <family val="1"/>
      </rPr>
      <t>Step 1.</t>
    </r>
    <r>
      <rPr>
        <sz val="12"/>
        <color rgb="FFFF0000"/>
        <rFont val="Times New Roman"/>
        <family val="1"/>
      </rPr>
      <t xml:space="preserve"> Select the type of earthing from the drop-down list below:</t>
    </r>
  </si>
  <si>
    <t>L     the rod length, in metres (m)</t>
  </si>
  <si>
    <t>Copper Plate</t>
  </si>
  <si>
    <t>Copper Strip</t>
  </si>
  <si>
    <t>Three Parallel aligned rods</t>
  </si>
  <si>
    <t>Two Parallel aligned rods</t>
  </si>
  <si>
    <t>Reinforced Concrete Foundation</t>
  </si>
  <si>
    <t>p     the soil resistivity, in ohm metres (Ωm)</t>
  </si>
  <si>
    <t>Step 1. Select the type of earthing from the drop-down list below:</t>
  </si>
  <si>
    <t>Single Rod Electrode</t>
  </si>
  <si>
    <t>Parallel Aligned Rods</t>
  </si>
  <si>
    <t>Case</t>
  </si>
  <si>
    <t>Step 2. Select the values of the parameters below in the highlighted cells:</t>
  </si>
  <si>
    <t>resss</t>
  </si>
  <si>
    <t>re</t>
  </si>
  <si>
    <t>ρ     the soil resistivity, in ohm metres (Ωm)</t>
  </si>
  <si>
    <t>R     the target earthing resistance, in ohm (Ω)</t>
  </si>
  <si>
    <t>d     the diameter of each rod, (mm)</t>
  </si>
  <si>
    <t>dia</t>
  </si>
  <si>
    <t>l</t>
  </si>
  <si>
    <t>2m - 4m</t>
  </si>
  <si>
    <t>Common Earthing Practices in Malaysia</t>
  </si>
  <si>
    <t>*</t>
  </si>
  <si>
    <t>Output Data:</t>
  </si>
  <si>
    <t>Proposed Design Procedure of Earthing Systems for Low-voltage Installations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</si>
</sst>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65" x14ac:knownFonts="1">
    <font>
      <sz val="11"/>
      <color theme="1"/>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2"/>
      <color theme="1"/>
      <name val="Verdana"/>
      <family val="2"/>
    </font>
    <font>
      <b/>
      <sz val="12"/>
      <color theme="1"/>
      <name val="Verdana"/>
      <family val="2"/>
    </font>
    <font>
      <sz val="14"/>
      <color theme="1"/>
      <name val="Calibri"/>
      <family val="2"/>
      <scheme val="minor"/>
    </font>
    <font>
      <sz val="12"/>
      <color rgb="FF3F3F76"/>
      <name val="Verdana"/>
      <family val="2"/>
    </font>
    <font>
      <b/>
      <sz val="12"/>
      <color rgb="FFFF0000"/>
      <name val="Verdana"/>
      <family val="2"/>
    </font>
    <font>
      <sz val="12"/>
      <color rgb="FFFF0000"/>
      <name val="Times New Roman"/>
      <family val="1"/>
    </font>
    <font>
      <sz val="14"/>
      <color rgb="FFFF0000"/>
      <name val="Times New Roman"/>
      <family val="1"/>
    </font>
    <font>
      <sz val="14"/>
      <color rgb="FF15334F"/>
      <name val="Calibri"/>
      <family val="2"/>
      <scheme val="minor"/>
    </font>
    <font>
      <b/>
      <sz val="14"/>
      <color rgb="FFFF0000"/>
      <name val="Times New Roman"/>
      <family val="1"/>
    </font>
    <font>
      <b/>
      <sz val="16"/>
      <color theme="1"/>
      <name val="Calibri"/>
      <family val="2"/>
      <scheme val="minor"/>
    </font>
    <font>
      <sz val="11"/>
      <color rgb="FF15334F"/>
      <name val="Calibri"/>
      <family val="2"/>
      <scheme val="minor"/>
    </font>
    <font>
      <b/>
      <sz val="12"/>
      <color rgb="FF15334F"/>
      <name val="Verdana"/>
      <family val="2"/>
    </font>
    <font>
      <b/>
      <sz val="12"/>
      <color rgb="FF3F3F3F"/>
      <name val="Verdana"/>
      <family val="2"/>
    </font>
    <font>
      <b/>
      <sz val="12"/>
      <color rgb="FFFF0000"/>
      <name val="Times New Roman"/>
      <family val="1"/>
    </font>
    <font>
      <sz val="10"/>
      <color theme="1"/>
      <name val="Verdana"/>
      <family val="2"/>
    </font>
    <font>
      <sz val="14"/>
      <color rgb="FFC00000"/>
      <name val="Calibri"/>
      <family val="2"/>
      <scheme val="minor"/>
    </font>
    <font>
      <sz val="11"/>
      <color theme="0"/>
      <name val="Calibri"/>
      <family val="2"/>
      <scheme val="minor"/>
    </font>
    <font>
      <sz val="12"/>
      <color theme="0"/>
      <name val="Verdana"/>
      <family val="2"/>
    </font>
    <font>
      <b/>
      <sz val="11"/>
      <color rgb="FF3F3F3F"/>
      <name val="Verdana"/>
      <family val="2"/>
    </font>
    <font>
      <sz val="9"/>
      <color indexed="81"/>
      <name val="Tahoma"/>
      <family val="2"/>
    </font>
    <font>
      <b/>
      <sz val="9"/>
      <color indexed="81"/>
      <name val="Tahoma"/>
      <family val="2"/>
    </font>
    <font>
      <b/>
      <sz val="11"/>
      <color theme="1"/>
      <name val="Verdana"/>
      <family val="2"/>
    </font>
    <font>
      <b/>
      <u/>
      <sz val="14"/>
      <color rgb="FFFF0000"/>
      <name val="Calibri"/>
      <family val="2"/>
      <scheme val="minor"/>
    </font>
    <font>
      <sz val="11"/>
      <color theme="3" tint="-0.499984740745262"/>
      <name val="Calibri"/>
      <family val="2"/>
      <scheme val="minor"/>
    </font>
    <font>
      <b/>
      <sz val="14"/>
      <color rgb="FF3F3F3F"/>
      <name val="Calibri"/>
      <family val="2"/>
      <scheme val="minor"/>
    </font>
    <font>
      <b/>
      <u/>
      <sz val="14"/>
      <color rgb="FFFF0000"/>
      <name val="Times New Roman"/>
      <family val="1"/>
    </font>
    <font>
      <b/>
      <sz val="9"/>
      <color rgb="FFFF0000"/>
      <name val="Verdana"/>
      <family val="2"/>
    </font>
    <font>
      <b/>
      <sz val="10"/>
      <color indexed="81"/>
      <name val="Verdana"/>
      <family val="2"/>
    </font>
    <font>
      <b/>
      <u/>
      <sz val="12"/>
      <color rgb="FFFF0000"/>
      <name val="Calibri"/>
      <family val="2"/>
      <scheme val="minor"/>
    </font>
    <font>
      <b/>
      <sz val="11"/>
      <color rgb="FFFF0000"/>
      <name val="Calibri"/>
      <family val="2"/>
      <scheme val="minor"/>
    </font>
    <font>
      <b/>
      <sz val="14"/>
      <color theme="1"/>
      <name val="Calibri"/>
      <family val="2"/>
      <scheme val="minor"/>
    </font>
    <font>
      <sz val="14"/>
      <color theme="5"/>
      <name val="Calibri"/>
      <family val="2"/>
      <scheme val="minor"/>
    </font>
    <font>
      <b/>
      <sz val="14"/>
      <color rgb="FF008000"/>
      <name val="Calibri"/>
      <family val="2"/>
      <scheme val="minor"/>
    </font>
    <font>
      <sz val="12"/>
      <color theme="1"/>
      <name val="Calibri"/>
      <family val="2"/>
      <scheme val="minor"/>
    </font>
    <font>
      <b/>
      <u/>
      <sz val="11"/>
      <color rgb="FFC00000"/>
      <name val="Verdana"/>
      <family val="2"/>
    </font>
    <font>
      <b/>
      <sz val="12"/>
      <color rgb="FF3F3F76"/>
      <name val="Verdana"/>
      <family val="2"/>
    </font>
    <font>
      <sz val="12"/>
      <color rgb="FF3F3F3F"/>
      <name val="Calibri"/>
      <family val="2"/>
      <scheme val="minor"/>
    </font>
    <font>
      <sz val="11"/>
      <color rgb="FFFF0000"/>
      <name val="Calibri"/>
      <family val="2"/>
      <scheme val="minor"/>
    </font>
    <font>
      <b/>
      <sz val="20"/>
      <color theme="1"/>
      <name val="Verdana"/>
      <family val="2"/>
    </font>
    <font>
      <b/>
      <sz val="14"/>
      <color theme="1"/>
      <name val="Verdana"/>
      <family val="2"/>
    </font>
    <font>
      <b/>
      <sz val="18"/>
      <color theme="1"/>
      <name val="Calibri"/>
      <family val="2"/>
      <scheme val="minor"/>
    </font>
    <font>
      <b/>
      <sz val="14"/>
      <color rgb="FFFF0000"/>
      <name val="Calibri"/>
      <family val="2"/>
      <scheme val="minor"/>
    </font>
    <font>
      <sz val="11"/>
      <color theme="1"/>
      <name val="Times New Roman"/>
      <family val="1"/>
    </font>
    <font>
      <sz val="12"/>
      <color theme="1"/>
      <name val="Times New Roman"/>
      <family val="1"/>
    </font>
    <font>
      <b/>
      <i/>
      <sz val="11"/>
      <color theme="1"/>
      <name val="Verdana"/>
      <family val="2"/>
    </font>
    <font>
      <b/>
      <sz val="14"/>
      <color rgb="FF3F3F76"/>
      <name val="Calibri"/>
      <family val="2"/>
      <scheme val="minor"/>
    </font>
    <font>
      <b/>
      <u/>
      <sz val="16"/>
      <color rgb="FFFF0000"/>
      <name val="Calibri"/>
      <family val="2"/>
      <scheme val="minor"/>
    </font>
    <font>
      <b/>
      <sz val="12"/>
      <color rgb="FF3F3F3F"/>
      <name val="Calibri"/>
      <family val="2"/>
      <scheme val="minor"/>
    </font>
    <font>
      <b/>
      <sz val="11"/>
      <color rgb="FFC00000"/>
      <name val="Calibri"/>
      <family val="2"/>
      <scheme val="minor"/>
    </font>
    <font>
      <b/>
      <sz val="16"/>
      <color rgb="FFC00000"/>
      <name val="Calibri"/>
      <family val="2"/>
      <scheme val="minor"/>
    </font>
    <font>
      <b/>
      <u/>
      <sz val="16"/>
      <color theme="1"/>
      <name val="Calibri"/>
      <family val="2"/>
      <scheme val="minor"/>
    </font>
    <font>
      <i/>
      <sz val="11"/>
      <color theme="1"/>
      <name val="Calibri"/>
      <family val="2"/>
      <scheme val="minor"/>
    </font>
    <font>
      <b/>
      <sz val="12"/>
      <color theme="1"/>
      <name val="Times New Roman"/>
      <family val="1"/>
    </font>
    <font>
      <sz val="12"/>
      <color rgb="FF000000"/>
      <name val="Times New Roman"/>
      <family val="1"/>
    </font>
    <font>
      <sz val="10"/>
      <color rgb="FF000000"/>
      <name val="Times New Roman"/>
      <family val="1"/>
    </font>
    <font>
      <sz val="11"/>
      <color rgb="FF000000"/>
      <name val="Times New Roman"/>
      <family val="1"/>
    </font>
    <font>
      <b/>
      <sz val="9"/>
      <color rgb="FF000000"/>
      <name val="Times New Roman"/>
      <family val="1"/>
    </font>
    <font>
      <b/>
      <u/>
      <sz val="14"/>
      <color theme="1"/>
      <name val="Times New Roman"/>
      <family val="1"/>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E5E5E3"/>
        <bgColor indexed="64"/>
      </patternFill>
    </fill>
    <fill>
      <patternFill patternType="solid">
        <fgColor theme="2"/>
        <bgColor indexed="64"/>
      </patternFill>
    </fill>
    <fill>
      <patternFill patternType="solid">
        <fgColor theme="5"/>
      </patternFill>
    </fill>
    <fill>
      <patternFill patternType="solid">
        <fgColor theme="5"/>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top style="thin">
        <color rgb="FF7F7F7F"/>
      </top>
      <bottom style="thin">
        <color rgb="FF7F7F7F"/>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ck">
        <color rgb="FF3F3F3F"/>
      </left>
      <right style="thick">
        <color rgb="FF3F3F3F"/>
      </right>
      <top style="thick">
        <color rgb="FF3F3F3F"/>
      </top>
      <bottom style="thick">
        <color rgb="FF3F3F3F"/>
      </bottom>
      <diagonal/>
    </border>
    <border>
      <left style="thin">
        <color rgb="FF3F3F3F"/>
      </left>
      <right/>
      <top style="thin">
        <color rgb="FF3F3F3F"/>
      </top>
      <bottom style="thin">
        <color rgb="FF3F3F3F"/>
      </bottom>
      <diagonal/>
    </border>
    <border>
      <left style="thick">
        <color rgb="FF002060"/>
      </left>
      <right style="thick">
        <color rgb="FF002060"/>
      </right>
      <top/>
      <bottom style="thick">
        <color rgb="FF002060"/>
      </bottom>
      <diagonal/>
    </border>
    <border>
      <left/>
      <right style="thin">
        <color rgb="FF7F7F7F"/>
      </right>
      <top style="thin">
        <color rgb="FF7F7F7F"/>
      </top>
      <bottom style="thin">
        <color indexed="64"/>
      </bottom>
      <diagonal/>
    </border>
    <border>
      <left style="thin">
        <color rgb="FF3F3F3F"/>
      </left>
      <right style="thin">
        <color rgb="FF3F3F3F"/>
      </right>
      <top style="thin">
        <color indexed="64"/>
      </top>
      <bottom style="thin">
        <color rgb="FF3F3F3F"/>
      </bottom>
      <diagonal/>
    </border>
    <border>
      <left style="thin">
        <color rgb="FF7F7F7F"/>
      </left>
      <right/>
      <top style="thin">
        <color rgb="FF7F7F7F"/>
      </top>
      <bottom/>
      <diagonal/>
    </border>
    <border>
      <left/>
      <right style="thin">
        <color auto="1"/>
      </right>
      <top style="thin">
        <color auto="1"/>
      </top>
      <bottom/>
      <diagonal/>
    </border>
    <border>
      <left/>
      <right/>
      <top style="thin">
        <color indexed="64"/>
      </top>
      <bottom/>
      <diagonal/>
    </border>
    <border>
      <left style="thin">
        <color indexed="64"/>
      </left>
      <right/>
      <top/>
      <bottom style="thin">
        <color indexed="64"/>
      </bottom>
      <diagonal/>
    </border>
  </borders>
  <cellStyleXfs count="6">
    <xf numFmtId="0" fontId="0" fillId="0" borderId="0"/>
    <xf numFmtId="0" fontId="1" fillId="2" borderId="1" applyNumberFormat="0" applyAlignment="0" applyProtection="0"/>
    <xf numFmtId="0" fontId="2" fillId="3" borderId="2" applyNumberFormat="0" applyAlignment="0" applyProtection="0"/>
    <xf numFmtId="0" fontId="3" fillId="0" borderId="3" applyNumberFormat="0" applyFill="0" applyAlignment="0" applyProtection="0"/>
    <xf numFmtId="0" fontId="4" fillId="4" borderId="4" applyNumberFormat="0" applyAlignment="0" applyProtection="0"/>
    <xf numFmtId="0" fontId="23" fillId="7" borderId="0" applyNumberFormat="0" applyBorder="0" applyAlignment="0" applyProtection="0"/>
  </cellStyleXfs>
  <cellXfs count="207">
    <xf numFmtId="0" fontId="0" fillId="0" borderId="0" xfId="0"/>
    <xf numFmtId="0" fontId="5" fillId="0" borderId="0" xfId="0" applyFont="1"/>
    <xf numFmtId="0" fontId="6" fillId="0" borderId="0" xfId="0" applyFont="1"/>
    <xf numFmtId="0" fontId="7" fillId="0" borderId="0" xfId="0" applyFont="1"/>
    <xf numFmtId="0" fontId="11" fillId="3" borderId="2" xfId="2" applyFont="1" applyAlignment="1">
      <alignment horizontal="center"/>
    </xf>
    <xf numFmtId="0" fontId="12" fillId="0" borderId="0" xfId="0" applyFont="1"/>
    <xf numFmtId="0" fontId="16" fillId="5" borderId="0" xfId="0" applyFont="1" applyFill="1"/>
    <xf numFmtId="0" fontId="17" fillId="0" borderId="3" xfId="3" applyFont="1" applyAlignment="1">
      <alignment horizontal="center"/>
    </xf>
    <xf numFmtId="164" fontId="19" fillId="3" borderId="2" xfId="2" applyNumberFormat="1" applyFont="1"/>
    <xf numFmtId="0" fontId="18" fillId="0" borderId="0" xfId="3" applyFont="1" applyBorder="1"/>
    <xf numFmtId="0" fontId="0" fillId="0" borderId="0" xfId="0" applyBorder="1" applyProtection="1">
      <protection locked="0"/>
    </xf>
    <xf numFmtId="2" fontId="7" fillId="8" borderId="1" xfId="1" applyNumberFormat="1" applyFont="1" applyFill="1" applyAlignment="1" applyProtection="1">
      <alignment horizontal="center" vertical="center"/>
      <protection locked="0"/>
    </xf>
    <xf numFmtId="2" fontId="7" fillId="8" borderId="1" xfId="1" applyNumberFormat="1" applyFont="1" applyFill="1" applyAlignment="1" applyProtection="1">
      <alignment horizontal="center" vertical="center"/>
    </xf>
    <xf numFmtId="0" fontId="7" fillId="8" borderId="1" xfId="1" applyFont="1" applyFill="1" applyAlignment="1" applyProtection="1">
      <alignment horizontal="center" vertical="center"/>
      <protection locked="0"/>
    </xf>
    <xf numFmtId="0" fontId="7" fillId="8" borderId="1" xfId="1" applyFont="1" applyFill="1" applyAlignment="1" applyProtection="1">
      <alignment horizontal="center" vertical="center"/>
    </xf>
    <xf numFmtId="0" fontId="3" fillId="0" borderId="3" xfId="3"/>
    <xf numFmtId="0" fontId="29" fillId="0" borderId="0" xfId="0" applyFont="1"/>
    <xf numFmtId="0" fontId="30" fillId="0" borderId="3" xfId="3" applyFont="1" applyAlignment="1">
      <alignment vertical="distributed"/>
    </xf>
    <xf numFmtId="0" fontId="31" fillId="3" borderId="2" xfId="2" applyFont="1"/>
    <xf numFmtId="165" fontId="31" fillId="3" borderId="2" xfId="2" applyNumberFormat="1" applyFont="1"/>
    <xf numFmtId="0" fontId="36" fillId="0" borderId="0" xfId="0" applyFont="1"/>
    <xf numFmtId="165" fontId="37" fillId="3" borderId="2" xfId="2" applyNumberFormat="1" applyFont="1" applyAlignment="1">
      <alignment horizontal="center" vertical="center"/>
    </xf>
    <xf numFmtId="0" fontId="37" fillId="0" borderId="12" xfId="0" applyFont="1" applyBorder="1" applyAlignment="1">
      <alignment vertical="distributed"/>
    </xf>
    <xf numFmtId="0" fontId="39" fillId="0" borderId="7" xfId="0" applyFont="1" applyBorder="1"/>
    <xf numFmtId="0" fontId="37" fillId="3" borderId="2" xfId="2" applyFont="1" applyAlignment="1">
      <alignment vertical="distributed"/>
    </xf>
    <xf numFmtId="0" fontId="41" fillId="0" borderId="0" xfId="0" applyFont="1"/>
    <xf numFmtId="0" fontId="28" fillId="3" borderId="2" xfId="2" applyFont="1" applyAlignment="1">
      <alignment horizontal="center" vertical="center"/>
    </xf>
    <xf numFmtId="0" fontId="37" fillId="3" borderId="2" xfId="2" applyFont="1" applyAlignment="1">
      <alignment vertical="center"/>
    </xf>
    <xf numFmtId="0" fontId="37" fillId="3" borderId="2" xfId="2" applyFont="1"/>
    <xf numFmtId="0" fontId="8" fillId="3" borderId="2" xfId="2" applyFont="1" applyAlignment="1">
      <alignment horizontal="center"/>
    </xf>
    <xf numFmtId="164" fontId="11" fillId="3" borderId="18" xfId="2" applyNumberFormat="1" applyFont="1" applyBorder="1" applyAlignment="1" applyProtection="1">
      <alignment horizontal="center" vertical="center"/>
    </xf>
    <xf numFmtId="0" fontId="25" fillId="3" borderId="16" xfId="2" applyFont="1" applyBorder="1" applyAlignment="1" applyProtection="1">
      <alignment horizontal="center" vertical="center"/>
    </xf>
    <xf numFmtId="0" fontId="44" fillId="0" borderId="0" xfId="0" applyFont="1"/>
    <xf numFmtId="0" fontId="0" fillId="9" borderId="0" xfId="0" applyFill="1"/>
    <xf numFmtId="0" fontId="0" fillId="9" borderId="0" xfId="0" applyFill="1" applyProtection="1">
      <protection locked="0"/>
    </xf>
    <xf numFmtId="0" fontId="0" fillId="9" borderId="0" xfId="0" applyFill="1" applyAlignment="1" applyProtection="1">
      <alignment horizontal="left" vertical="center"/>
      <protection locked="0"/>
    </xf>
    <xf numFmtId="0" fontId="7" fillId="9" borderId="0" xfId="0" applyFont="1" applyFill="1" applyAlignment="1" applyProtection="1">
      <alignment horizontal="center" vertical="center"/>
      <protection locked="0"/>
    </xf>
    <xf numFmtId="0" fontId="47" fillId="11" borderId="0" xfId="0" applyFont="1" applyFill="1"/>
    <xf numFmtId="0" fontId="48" fillId="0" borderId="0" xfId="0" applyFont="1"/>
    <xf numFmtId="0" fontId="49" fillId="0" borderId="0" xfId="0" applyFont="1" applyAlignment="1">
      <alignment horizontal="justify" vertical="center"/>
    </xf>
    <xf numFmtId="0" fontId="50" fillId="0" borderId="0" xfId="0" applyFont="1"/>
    <xf numFmtId="0" fontId="8" fillId="9" borderId="0" xfId="0" applyFont="1" applyFill="1"/>
    <xf numFmtId="0" fontId="53" fillId="0" borderId="0" xfId="0" applyFont="1"/>
    <xf numFmtId="0" fontId="7" fillId="3" borderId="2" xfId="2" applyFont="1" applyAlignment="1">
      <alignment horizontal="center" vertical="distributed"/>
    </xf>
    <xf numFmtId="0" fontId="37" fillId="0" borderId="12" xfId="0" applyFont="1" applyBorder="1" applyAlignment="1">
      <alignment vertical="center"/>
    </xf>
    <xf numFmtId="0" fontId="48" fillId="9" borderId="0" xfId="0" applyFont="1" applyFill="1"/>
    <xf numFmtId="0" fontId="6" fillId="8" borderId="0" xfId="0" applyFont="1" applyFill="1"/>
    <xf numFmtId="0" fontId="6" fillId="8" borderId="0" xfId="0" applyFont="1" applyFill="1" applyAlignment="1">
      <alignment vertical="center"/>
    </xf>
    <xf numFmtId="0" fontId="50" fillId="0" borderId="12" xfId="0" applyFont="1" applyBorder="1"/>
    <xf numFmtId="0" fontId="50" fillId="8" borderId="12" xfId="0" applyFont="1" applyFill="1" applyBorder="1"/>
    <xf numFmtId="164" fontId="50" fillId="8" borderId="12" xfId="0" applyNumberFormat="1" applyFont="1" applyFill="1" applyBorder="1"/>
    <xf numFmtId="0" fontId="2" fillId="3" borderId="2" xfId="2"/>
    <xf numFmtId="0" fontId="0" fillId="9" borderId="0" xfId="0" applyFill="1" applyBorder="1"/>
    <xf numFmtId="0" fontId="54" fillId="3" borderId="2" xfId="2" applyFont="1"/>
    <xf numFmtId="164" fontId="54" fillId="3" borderId="2" xfId="2" applyNumberFormat="1" applyFont="1"/>
    <xf numFmtId="0" fontId="54" fillId="3" borderId="12" xfId="2" applyFont="1" applyBorder="1"/>
    <xf numFmtId="0" fontId="48" fillId="9" borderId="0" xfId="0" applyFont="1" applyFill="1" applyBorder="1"/>
    <xf numFmtId="0" fontId="6" fillId="8" borderId="10" xfId="0" applyFont="1" applyFill="1" applyBorder="1" applyAlignment="1">
      <alignment vertical="center"/>
    </xf>
    <xf numFmtId="0" fontId="5" fillId="9" borderId="0" xfId="0" applyFont="1" applyFill="1"/>
    <xf numFmtId="0" fontId="50" fillId="9" borderId="12" xfId="0" applyFont="1" applyFill="1" applyBorder="1"/>
    <xf numFmtId="0" fontId="36" fillId="9" borderId="0" xfId="0" applyFont="1" applyFill="1"/>
    <xf numFmtId="0" fontId="7" fillId="0" borderId="12" xfId="0" applyFont="1" applyBorder="1"/>
    <xf numFmtId="0" fontId="54" fillId="3" borderId="0" xfId="2" applyFont="1" applyBorder="1"/>
    <xf numFmtId="0" fontId="40" fillId="8" borderId="12" xfId="0" applyFont="1" applyFill="1" applyBorder="1"/>
    <xf numFmtId="0" fontId="44" fillId="9" borderId="0" xfId="0" applyFont="1" applyFill="1"/>
    <xf numFmtId="0" fontId="0" fillId="8" borderId="12" xfId="0" applyFont="1" applyFill="1" applyBorder="1"/>
    <xf numFmtId="0" fontId="2" fillId="3" borderId="0" xfId="2" applyFont="1" applyBorder="1"/>
    <xf numFmtId="0" fontId="0" fillId="8" borderId="0" xfId="0" applyFont="1" applyFill="1"/>
    <xf numFmtId="0" fontId="50" fillId="9" borderId="0" xfId="0" applyFont="1" applyFill="1"/>
    <xf numFmtId="0" fontId="50" fillId="9" borderId="10" xfId="0" applyFont="1" applyFill="1" applyBorder="1"/>
    <xf numFmtId="0" fontId="21" fillId="0" borderId="0" xfId="0" applyFont="1" applyAlignment="1">
      <alignment horizontal="center" vertical="center"/>
    </xf>
    <xf numFmtId="0" fontId="8" fillId="0" borderId="12" xfId="0" applyFont="1" applyBorder="1" applyAlignment="1">
      <alignment vertical="center"/>
    </xf>
    <xf numFmtId="0" fontId="28" fillId="0" borderId="12" xfId="0" applyFont="1" applyBorder="1" applyAlignment="1">
      <alignment vertical="center"/>
    </xf>
    <xf numFmtId="0" fontId="39" fillId="0" borderId="12" xfId="0" applyFont="1" applyBorder="1" applyAlignment="1">
      <alignment vertical="center"/>
    </xf>
    <xf numFmtId="0" fontId="39" fillId="0" borderId="7" xfId="0" applyFont="1" applyBorder="1" applyAlignment="1">
      <alignment vertical="center"/>
    </xf>
    <xf numFmtId="0" fontId="4" fillId="9" borderId="0" xfId="0" applyFont="1" applyFill="1" applyBorder="1"/>
    <xf numFmtId="0" fontId="23" fillId="9" borderId="0" xfId="5" applyFont="1" applyFill="1" applyBorder="1" applyAlignment="1">
      <alignment horizontal="center" vertical="center"/>
    </xf>
    <xf numFmtId="0" fontId="39" fillId="0" borderId="8" xfId="0" applyFont="1" applyBorder="1"/>
    <xf numFmtId="0" fontId="0" fillId="0" borderId="0" xfId="0" applyProtection="1">
      <protection locked="0"/>
    </xf>
    <xf numFmtId="0" fontId="46" fillId="10" borderId="0" xfId="0" applyFont="1" applyFill="1" applyAlignment="1" applyProtection="1">
      <alignment vertical="center"/>
      <protection locked="0"/>
    </xf>
    <xf numFmtId="0" fontId="48" fillId="9" borderId="0" xfId="0" applyFont="1" applyFill="1" applyProtection="1">
      <protection locked="0"/>
    </xf>
    <xf numFmtId="0" fontId="8" fillId="9" borderId="0" xfId="0" applyFont="1" applyFill="1" applyAlignment="1" applyProtection="1">
      <alignment vertical="center"/>
      <protection locked="0"/>
    </xf>
    <xf numFmtId="0" fontId="0" fillId="9" borderId="0" xfId="0" applyFill="1" applyAlignment="1" applyProtection="1">
      <alignment vertical="center"/>
      <protection locked="0"/>
    </xf>
    <xf numFmtId="0" fontId="40" fillId="9" borderId="0" xfId="0" applyFont="1" applyFill="1" applyAlignment="1" applyProtection="1">
      <alignment vertical="justify"/>
      <protection locked="0"/>
    </xf>
    <xf numFmtId="0" fontId="13" fillId="0" borderId="0" xfId="0" applyFont="1" applyProtection="1"/>
    <xf numFmtId="0" fontId="8" fillId="0" borderId="0" xfId="3" applyFont="1" applyBorder="1" applyAlignment="1" applyProtection="1">
      <alignment horizontal="center"/>
    </xf>
    <xf numFmtId="0" fontId="8" fillId="0" borderId="0" xfId="0" applyFont="1" applyProtection="1"/>
    <xf numFmtId="0" fontId="0" fillId="0" borderId="0" xfId="0" applyProtection="1"/>
    <xf numFmtId="0" fontId="11" fillId="3" borderId="2" xfId="2" applyFont="1" applyAlignment="1" applyProtection="1">
      <alignment horizontal="center"/>
    </xf>
    <xf numFmtId="164" fontId="11" fillId="3" borderId="2" xfId="2" applyNumberFormat="1" applyFont="1" applyAlignment="1" applyProtection="1">
      <alignment horizontal="center"/>
    </xf>
    <xf numFmtId="0" fontId="6" fillId="9" borderId="0" xfId="0" applyFont="1" applyFill="1" applyAlignment="1" applyProtection="1">
      <alignment vertical="justify"/>
    </xf>
    <xf numFmtId="0" fontId="0" fillId="9" borderId="0" xfId="0" applyFill="1" applyProtection="1"/>
    <xf numFmtId="0" fontId="7" fillId="9" borderId="0" xfId="0" applyFont="1" applyFill="1" applyAlignment="1" applyProtection="1">
      <alignment horizontal="center"/>
    </xf>
    <xf numFmtId="0" fontId="22" fillId="9" borderId="0" xfId="0" applyFont="1" applyFill="1" applyProtection="1">
      <protection locked="0"/>
    </xf>
    <xf numFmtId="0" fontId="9" fillId="8" borderId="9" xfId="1" applyFont="1" applyFill="1" applyBorder="1" applyAlignment="1" applyProtection="1">
      <alignment horizontal="center"/>
      <protection locked="0"/>
    </xf>
    <xf numFmtId="0" fontId="7" fillId="8" borderId="1" xfId="1" applyFont="1" applyFill="1" applyAlignment="1" applyProtection="1">
      <alignment horizontal="center"/>
      <protection locked="0"/>
    </xf>
    <xf numFmtId="0" fontId="7" fillId="0" borderId="0" xfId="0" applyFont="1" applyAlignment="1" applyProtection="1">
      <alignment horizontal="center"/>
      <protection locked="0"/>
    </xf>
    <xf numFmtId="0" fontId="0" fillId="0" borderId="0" xfId="0" applyAlignment="1" applyProtection="1">
      <alignment horizontal="center"/>
      <protection locked="0"/>
    </xf>
    <xf numFmtId="0" fontId="2" fillId="3" borderId="14" xfId="2" applyBorder="1" applyAlignment="1" applyProtection="1">
      <alignment vertical="justify"/>
    </xf>
    <xf numFmtId="0" fontId="3" fillId="0" borderId="3" xfId="3" applyProtection="1"/>
    <xf numFmtId="0" fontId="32" fillId="0" borderId="0" xfId="0" applyFont="1" applyProtection="1"/>
    <xf numFmtId="0" fontId="28" fillId="0" borderId="10" xfId="0" applyFont="1" applyBorder="1" applyAlignment="1" applyProtection="1">
      <alignment vertical="center"/>
    </xf>
    <xf numFmtId="0" fontId="19" fillId="3" borderId="2" xfId="2" applyFont="1" applyAlignment="1" applyProtection="1">
      <alignment vertical="center"/>
    </xf>
    <xf numFmtId="0" fontId="43" fillId="3" borderId="15" xfId="2" applyFont="1" applyBorder="1" applyAlignment="1" applyProtection="1">
      <alignment vertical="justify"/>
    </xf>
    <xf numFmtId="0" fontId="2" fillId="3" borderId="13" xfId="2" applyBorder="1" applyProtection="1"/>
    <xf numFmtId="0" fontId="33" fillId="3" borderId="2" xfId="2" applyFont="1" applyBorder="1" applyAlignment="1" applyProtection="1">
      <alignment horizontal="center" vertical="center"/>
    </xf>
    <xf numFmtId="0" fontId="43" fillId="3" borderId="14" xfId="2" applyFont="1" applyBorder="1" applyAlignment="1" applyProtection="1">
      <alignment vertical="justify"/>
    </xf>
    <xf numFmtId="0" fontId="25" fillId="3" borderId="2" xfId="2" applyFont="1" applyProtection="1"/>
    <xf numFmtId="164" fontId="11" fillId="3" borderId="2" xfId="2" applyNumberFormat="1" applyFont="1" applyBorder="1" applyAlignment="1" applyProtection="1">
      <alignment horizontal="center"/>
    </xf>
    <xf numFmtId="0" fontId="7" fillId="0" borderId="10" xfId="0" applyFont="1" applyBorder="1" applyProtection="1"/>
    <xf numFmtId="0" fontId="7" fillId="0" borderId="0" xfId="0" applyFont="1" applyProtection="1"/>
    <xf numFmtId="0" fontId="0" fillId="6" borderId="0" xfId="0" applyFill="1" applyProtection="1"/>
    <xf numFmtId="164" fontId="11" fillId="3" borderId="6" xfId="2" applyNumberFormat="1" applyFont="1" applyBorder="1" applyAlignment="1" applyProtection="1">
      <alignment horizontal="center"/>
    </xf>
    <xf numFmtId="0" fontId="8" fillId="6" borderId="0" xfId="0" applyFont="1" applyFill="1" applyBorder="1" applyProtection="1"/>
    <xf numFmtId="164" fontId="11" fillId="3" borderId="7" xfId="2" applyNumberFormat="1" applyFont="1" applyBorder="1" applyAlignment="1" applyProtection="1">
      <alignment horizontal="center"/>
    </xf>
    <xf numFmtId="164" fontId="11" fillId="3" borderId="8" xfId="2" applyNumberFormat="1" applyFont="1" applyBorder="1" applyAlignment="1" applyProtection="1">
      <alignment horizontal="center"/>
    </xf>
    <xf numFmtId="0" fontId="31" fillId="3" borderId="2" xfId="2" applyFont="1" applyAlignment="1" applyProtection="1">
      <alignment vertical="center"/>
    </xf>
    <xf numFmtId="0" fontId="28" fillId="0" borderId="5" xfId="0" applyFont="1" applyBorder="1" applyProtection="1"/>
    <xf numFmtId="0" fontId="25" fillId="3" borderId="17" xfId="2" applyFont="1" applyBorder="1" applyAlignment="1" applyProtection="1">
      <alignment vertical="center"/>
    </xf>
    <xf numFmtId="0" fontId="28" fillId="0" borderId="10" xfId="0" applyFont="1" applyBorder="1" applyAlignment="1" applyProtection="1">
      <alignment vertical="justify"/>
    </xf>
    <xf numFmtId="0" fontId="32" fillId="9" borderId="0" xfId="0" applyFont="1" applyFill="1" applyProtection="1"/>
    <xf numFmtId="0" fontId="52" fillId="2" borderId="1" xfId="1" applyFont="1" applyAlignment="1" applyProtection="1">
      <alignment horizontal="center" vertical="center"/>
      <protection locked="0"/>
    </xf>
    <xf numFmtId="0" fontId="42" fillId="2" borderId="12" xfId="1" applyFont="1" applyBorder="1" applyAlignment="1" applyProtection="1">
      <alignment horizontal="center" vertical="center"/>
      <protection locked="0"/>
    </xf>
    <xf numFmtId="0" fontId="9" fillId="7" borderId="1" xfId="5" applyFont="1" applyBorder="1" applyAlignment="1" applyProtection="1">
      <alignment horizontal="center" vertical="center"/>
      <protection locked="0"/>
    </xf>
    <xf numFmtId="0" fontId="9" fillId="7" borderId="9" xfId="5" applyFont="1" applyBorder="1" applyAlignment="1" applyProtection="1">
      <alignment horizontal="center" vertical="center"/>
      <protection locked="0"/>
    </xf>
    <xf numFmtId="0" fontId="38" fillId="7" borderId="9" xfId="5" applyFont="1" applyBorder="1" applyAlignment="1" applyProtection="1">
      <alignment horizontal="center" vertical="center"/>
      <protection locked="0"/>
    </xf>
    <xf numFmtId="0" fontId="40" fillId="7" borderId="9" xfId="5" applyFont="1" applyBorder="1" applyAlignment="1" applyProtection="1">
      <alignment horizontal="center" vertical="center"/>
      <protection locked="0"/>
    </xf>
    <xf numFmtId="0" fontId="38" fillId="7" borderId="19" xfId="5" applyFont="1" applyBorder="1" applyAlignment="1" applyProtection="1">
      <alignment horizontal="center" vertical="center"/>
      <protection locked="0"/>
    </xf>
    <xf numFmtId="0" fontId="37" fillId="2" borderId="1" xfId="1" applyFont="1" applyAlignment="1" applyProtection="1">
      <alignment horizontal="center" vertical="center"/>
      <protection locked="0"/>
    </xf>
    <xf numFmtId="0" fontId="38" fillId="7" borderId="9" xfId="5" applyFont="1" applyBorder="1" applyAlignment="1" applyProtection="1">
      <alignment horizontal="center" vertical="center"/>
    </xf>
    <xf numFmtId="0" fontId="39" fillId="0" borderId="7" xfId="0" applyFont="1" applyBorder="1" applyAlignment="1">
      <alignment vertical="justify"/>
    </xf>
    <xf numFmtId="164" fontId="37" fillId="3" borderId="20" xfId="2" applyNumberFormat="1" applyFont="1" applyBorder="1" applyAlignment="1">
      <alignment horizontal="center" vertical="center"/>
    </xf>
    <xf numFmtId="0" fontId="37" fillId="3" borderId="20" xfId="2" applyFont="1" applyBorder="1" applyAlignment="1">
      <alignment vertical="distributed"/>
    </xf>
    <xf numFmtId="164" fontId="7" fillId="8" borderId="1" xfId="1" applyNumberFormat="1" applyFont="1" applyFill="1" applyAlignment="1" applyProtection="1">
      <alignment horizontal="center" vertical="center"/>
    </xf>
    <xf numFmtId="0" fontId="8" fillId="8" borderId="4" xfId="4" applyFont="1" applyFill="1" applyAlignment="1" applyProtection="1">
      <alignment vertical="center"/>
      <protection locked="0"/>
    </xf>
    <xf numFmtId="0" fontId="0" fillId="0" borderId="23" xfId="0" applyBorder="1"/>
    <xf numFmtId="0" fontId="24" fillId="9" borderId="23" xfId="0" applyFont="1" applyFill="1" applyBorder="1" applyProtection="1">
      <protection locked="0"/>
    </xf>
    <xf numFmtId="0" fontId="35" fillId="0" borderId="0" xfId="0" applyFont="1" applyAlignment="1">
      <alignment vertical="center"/>
    </xf>
    <xf numFmtId="0" fontId="7" fillId="7" borderId="12" xfId="5" applyFont="1" applyBorder="1" applyAlignment="1" applyProtection="1">
      <alignment vertical="center"/>
      <protection locked="0"/>
    </xf>
    <xf numFmtId="0" fontId="7" fillId="0" borderId="5" xfId="0" applyFont="1" applyBorder="1" applyAlignment="1">
      <alignment vertical="center"/>
    </xf>
    <xf numFmtId="0" fontId="7" fillId="8" borderId="11" xfId="0" applyFont="1" applyFill="1" applyBorder="1" applyAlignment="1" applyProtection="1">
      <alignment vertical="center"/>
      <protection locked="0"/>
    </xf>
    <xf numFmtId="0" fontId="24" fillId="0" borderId="11" xfId="0" applyFont="1" applyBorder="1" applyAlignment="1" applyProtection="1">
      <alignment vertical="center"/>
      <protection locked="0"/>
    </xf>
    <xf numFmtId="0" fontId="7" fillId="0" borderId="21" xfId="0" applyFont="1" applyBorder="1" applyAlignment="1">
      <alignment vertical="center"/>
    </xf>
    <xf numFmtId="0" fontId="24" fillId="0" borderId="22" xfId="0" applyFont="1" applyBorder="1" applyAlignment="1" applyProtection="1">
      <alignment vertical="center"/>
      <protection locked="0"/>
    </xf>
    <xf numFmtId="0" fontId="14" fillId="0" borderId="5" xfId="0" applyFont="1" applyBorder="1" applyAlignment="1" applyProtection="1">
      <alignment vertical="center"/>
    </xf>
    <xf numFmtId="2" fontId="10" fillId="10" borderId="1" xfId="1" applyNumberFormat="1" applyFont="1" applyFill="1" applyAlignment="1" applyProtection="1">
      <alignment horizontal="right" vertical="center"/>
      <protection locked="0"/>
    </xf>
    <xf numFmtId="0" fontId="10" fillId="10" borderId="1" xfId="1" applyNumberFormat="1" applyFont="1" applyFill="1" applyAlignment="1" applyProtection="1">
      <alignment horizontal="right" vertical="center"/>
      <protection locked="0"/>
    </xf>
    <xf numFmtId="0" fontId="10" fillId="10" borderId="1" xfId="1" applyFont="1" applyFill="1" applyAlignment="1" applyProtection="1">
      <alignment horizontal="right" vertical="center"/>
      <protection locked="0"/>
    </xf>
    <xf numFmtId="0" fontId="55" fillId="9" borderId="0" xfId="0" applyFont="1" applyFill="1"/>
    <xf numFmtId="0" fontId="56" fillId="9" borderId="0" xfId="0" applyFont="1" applyFill="1"/>
    <xf numFmtId="0" fontId="0" fillId="9" borderId="0" xfId="0" applyFont="1" applyFill="1"/>
    <xf numFmtId="0" fontId="6" fillId="9" borderId="0" xfId="0" applyFont="1" applyFill="1"/>
    <xf numFmtId="0" fontId="7" fillId="9" borderId="0" xfId="0" applyFont="1" applyFill="1"/>
    <xf numFmtId="0" fontId="0" fillId="9" borderId="0" xfId="0" applyFont="1" applyFill="1" applyAlignment="1">
      <alignment wrapText="1"/>
    </xf>
    <xf numFmtId="0" fontId="0" fillId="0" borderId="0" xfId="0" applyFont="1"/>
    <xf numFmtId="0" fontId="8" fillId="9" borderId="0" xfId="0" applyFont="1" applyFill="1" applyBorder="1" applyAlignment="1">
      <alignment vertical="center"/>
    </xf>
    <xf numFmtId="0" fontId="12" fillId="9" borderId="0" xfId="0" applyFont="1" applyFill="1"/>
    <xf numFmtId="0" fontId="12" fillId="9" borderId="0" xfId="0" applyFont="1" applyFill="1" applyBorder="1"/>
    <xf numFmtId="0" fontId="37" fillId="9" borderId="0" xfId="2" applyFont="1" applyFill="1" applyBorder="1" applyAlignment="1">
      <alignment vertical="center"/>
    </xf>
    <xf numFmtId="0" fontId="42" fillId="9" borderId="0" xfId="1" applyFont="1" applyFill="1" applyBorder="1" applyAlignment="1" applyProtection="1">
      <alignment horizontal="center" vertical="center"/>
      <protection locked="0"/>
    </xf>
    <xf numFmtId="0" fontId="7" fillId="9" borderId="12" xfId="0" applyFont="1" applyFill="1" applyBorder="1"/>
    <xf numFmtId="0" fontId="7" fillId="9" borderId="12" xfId="0" applyFont="1" applyFill="1" applyBorder="1" applyAlignment="1">
      <alignment vertical="center"/>
    </xf>
    <xf numFmtId="0" fontId="57" fillId="11" borderId="0" xfId="0" applyFont="1" applyFill="1"/>
    <xf numFmtId="0" fontId="8" fillId="2" borderId="12" xfId="1" applyFont="1" applyBorder="1" applyAlignment="1" applyProtection="1">
      <alignment horizontal="center" vertical="center"/>
      <protection locked="0"/>
    </xf>
    <xf numFmtId="0" fontId="8" fillId="10" borderId="12" xfId="0" applyFont="1" applyFill="1" applyBorder="1" applyAlignment="1" applyProtection="1">
      <alignment horizontal="center"/>
      <protection locked="0"/>
    </xf>
    <xf numFmtId="0" fontId="8" fillId="6" borderId="0" xfId="2" applyFont="1" applyFill="1" applyBorder="1" applyAlignment="1">
      <alignment horizontal="left" vertical="distributed"/>
    </xf>
    <xf numFmtId="0" fontId="11" fillId="6" borderId="0" xfId="0" applyFont="1" applyFill="1" applyBorder="1" applyAlignment="1">
      <alignment horizontal="center"/>
    </xf>
    <xf numFmtId="0" fontId="23" fillId="9" borderId="0" xfId="0" applyFont="1" applyFill="1"/>
    <xf numFmtId="0" fontId="11" fillId="6" borderId="0" xfId="0" applyFont="1" applyFill="1" applyAlignment="1">
      <alignment horizontal="right"/>
    </xf>
    <xf numFmtId="0" fontId="44" fillId="9" borderId="0" xfId="0" applyFont="1" applyFill="1" applyAlignment="1">
      <alignment horizontal="right"/>
    </xf>
    <xf numFmtId="0" fontId="58" fillId="9" borderId="0" xfId="0" applyFont="1" applyFill="1"/>
    <xf numFmtId="0" fontId="0" fillId="0" borderId="0" xfId="0" applyAlignment="1" applyProtection="1">
      <alignment vertical="distributed"/>
    </xf>
    <xf numFmtId="0" fontId="45" fillId="5" borderId="0" xfId="0" applyFont="1" applyFill="1" applyProtection="1"/>
    <xf numFmtId="0" fontId="9" fillId="0" borderId="3" xfId="3" applyFont="1" applyAlignment="1" applyProtection="1">
      <alignment horizontal="center"/>
    </xf>
    <xf numFmtId="0" fontId="45" fillId="9" borderId="0" xfId="0" applyFont="1" applyFill="1" applyProtection="1"/>
    <xf numFmtId="0" fontId="48" fillId="9" borderId="0" xfId="0" applyFont="1" applyFill="1" applyProtection="1"/>
    <xf numFmtId="0" fontId="53" fillId="9" borderId="0" xfId="0" applyFont="1" applyFill="1" applyAlignment="1" applyProtection="1">
      <alignment horizontal="center" vertical="center"/>
      <protection locked="0"/>
    </xf>
    <xf numFmtId="0" fontId="60" fillId="9" borderId="0" xfId="0" applyFont="1" applyFill="1" applyAlignment="1">
      <alignment horizontal="center" vertical="center"/>
    </xf>
    <xf numFmtId="0" fontId="61" fillId="9" borderId="0" xfId="0" applyFont="1" applyFill="1" applyAlignment="1">
      <alignment horizontal="center" vertical="center"/>
    </xf>
    <xf numFmtId="0" fontId="62" fillId="9" borderId="0" xfId="0" applyFont="1" applyFill="1" applyAlignment="1">
      <alignment horizontal="center" vertical="center"/>
    </xf>
    <xf numFmtId="0" fontId="50" fillId="9" borderId="0" xfId="0" applyFont="1" applyFill="1" applyAlignment="1">
      <alignment horizontal="center" vertical="center"/>
    </xf>
    <xf numFmtId="0" fontId="59" fillId="9" borderId="0" xfId="0" applyFont="1" applyFill="1" applyAlignment="1">
      <alignment horizontal="center" vertical="center"/>
    </xf>
    <xf numFmtId="0" fontId="63" fillId="9" borderId="0" xfId="0" applyFont="1" applyFill="1" applyAlignment="1">
      <alignment horizontal="center" vertical="center"/>
    </xf>
    <xf numFmtId="0" fontId="64" fillId="12" borderId="0" xfId="0" applyFont="1" applyFill="1" applyAlignment="1">
      <alignment horizontal="justify" vertical="center"/>
    </xf>
    <xf numFmtId="0" fontId="8" fillId="6" borderId="0" xfId="2" applyFont="1" applyFill="1" applyBorder="1" applyAlignment="1" applyProtection="1">
      <alignment horizontal="left" vertical="distributed"/>
      <protection hidden="1"/>
    </xf>
    <xf numFmtId="0" fontId="11" fillId="6" borderId="0" xfId="0" applyFont="1" applyFill="1" applyAlignment="1" applyProtection="1">
      <alignment horizontal="right"/>
      <protection hidden="1"/>
    </xf>
    <xf numFmtId="0" fontId="8" fillId="6" borderId="0" xfId="0" applyFont="1" applyFill="1" applyBorder="1" applyAlignment="1" applyProtection="1">
      <alignment horizontal="left"/>
      <protection hidden="1"/>
    </xf>
    <xf numFmtId="0" fontId="11" fillId="6" borderId="0" xfId="0" applyFont="1" applyFill="1" applyBorder="1" applyAlignment="1" applyProtection="1">
      <alignment horizontal="center"/>
      <protection hidden="1"/>
    </xf>
    <xf numFmtId="0" fontId="8" fillId="9" borderId="0" xfId="0" applyFont="1" applyFill="1" applyAlignment="1" applyProtection="1">
      <alignment horizontal="center"/>
      <protection hidden="1"/>
    </xf>
    <xf numFmtId="0" fontId="11" fillId="9" borderId="0" xfId="0" applyFont="1" applyFill="1" applyAlignment="1" applyProtection="1">
      <alignment horizontal="center"/>
      <protection hidden="1"/>
    </xf>
    <xf numFmtId="0" fontId="8" fillId="6" borderId="10" xfId="0" applyFont="1" applyFill="1" applyBorder="1" applyProtection="1">
      <protection hidden="1"/>
    </xf>
    <xf numFmtId="16" fontId="8" fillId="6" borderId="12" xfId="0" applyNumberFormat="1" applyFont="1" applyFill="1" applyBorder="1" applyAlignment="1" applyProtection="1">
      <alignment horizontal="center"/>
      <protection hidden="1"/>
    </xf>
    <xf numFmtId="0" fontId="8" fillId="6" borderId="24" xfId="0" applyFont="1" applyFill="1" applyBorder="1" applyProtection="1">
      <protection hidden="1"/>
    </xf>
    <xf numFmtId="0" fontId="8" fillId="6" borderId="8" xfId="0" applyFont="1" applyFill="1" applyBorder="1" applyAlignment="1" applyProtection="1">
      <alignment horizontal="center"/>
      <protection hidden="1"/>
    </xf>
    <xf numFmtId="164" fontId="10" fillId="10" borderId="1" xfId="1" applyNumberFormat="1" applyFont="1" applyFill="1" applyAlignment="1" applyProtection="1">
      <alignment horizontal="right" vertical="center"/>
      <protection hidden="1"/>
    </xf>
    <xf numFmtId="0" fontId="6" fillId="8" borderId="10" xfId="0" applyFont="1" applyFill="1" applyBorder="1" applyAlignment="1" applyProtection="1">
      <alignment vertical="center"/>
      <protection locked="0"/>
    </xf>
    <xf numFmtId="0" fontId="0" fillId="8" borderId="0" xfId="0" applyFont="1" applyFill="1" applyProtection="1">
      <protection locked="0"/>
    </xf>
    <xf numFmtId="0" fontId="40" fillId="8" borderId="12" xfId="0" applyFont="1" applyFill="1" applyBorder="1" applyProtection="1">
      <protection locked="0"/>
    </xf>
    <xf numFmtId="0" fontId="50" fillId="8" borderId="12" xfId="0" applyFont="1" applyFill="1" applyBorder="1" applyProtection="1">
      <protection locked="0"/>
    </xf>
    <xf numFmtId="164" fontId="50" fillId="8" borderId="12" xfId="0" applyNumberFormat="1" applyFont="1" applyFill="1" applyBorder="1" applyProtection="1">
      <protection locked="0"/>
    </xf>
    <xf numFmtId="0" fontId="6" fillId="8" borderId="0" xfId="0" applyFont="1" applyFill="1" applyAlignment="1" applyProtection="1">
      <alignment vertical="center"/>
      <protection locked="0"/>
    </xf>
    <xf numFmtId="0" fontId="50" fillId="8" borderId="12" xfId="0" applyFont="1" applyFill="1" applyBorder="1" applyProtection="1"/>
    <xf numFmtId="0" fontId="54" fillId="3" borderId="2" xfId="2" applyFont="1" applyProtection="1">
      <protection hidden="1"/>
    </xf>
    <xf numFmtId="0" fontId="2" fillId="3" borderId="2" xfId="2" applyProtection="1">
      <protection hidden="1"/>
    </xf>
    <xf numFmtId="0" fontId="54" fillId="3" borderId="12" xfId="2" applyFont="1" applyBorder="1" applyProtection="1">
      <protection hidden="1"/>
    </xf>
    <xf numFmtId="164" fontId="54" fillId="3" borderId="2" xfId="2" applyNumberFormat="1" applyFont="1" applyProtection="1">
      <protection hidden="1"/>
    </xf>
    <xf numFmtId="0" fontId="40" fillId="8" borderId="12" xfId="0" applyFont="1" applyFill="1" applyBorder="1" applyProtection="1"/>
  </cellXfs>
  <cellStyles count="6">
    <cellStyle name="Accent2" xfId="5" builtinId="33"/>
    <cellStyle name="Check Cell" xfId="4" builtinId="23"/>
    <cellStyle name="Input" xfId="1" builtinId="20"/>
    <cellStyle name="Linked Cell" xfId="3" builtinId="24"/>
    <cellStyle name="Normal" xfId="0" builtinId="0"/>
    <cellStyle name="Output" xfId="2" builtinId="21"/>
  </cellStyles>
  <dxfs count="79">
    <dxf>
      <font>
        <color theme="5"/>
      </font>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1"/>
      </font>
      <fill>
        <patternFill>
          <bgColor theme="2"/>
        </patternFill>
      </fill>
    </dxf>
    <dxf>
      <font>
        <color theme="0"/>
      </font>
      <fill>
        <patternFill>
          <bgColor theme="0"/>
        </patternFill>
      </fill>
    </dxf>
    <dxf>
      <font>
        <color theme="0"/>
      </font>
      <fill>
        <patternFill>
          <bgColor theme="0"/>
        </patternFill>
      </fill>
    </dxf>
    <dxf>
      <font>
        <color theme="1"/>
      </font>
      <fill>
        <patternFill>
          <bgColor theme="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ont>
        <color theme="1"/>
      </font>
      <fill>
        <patternFill>
          <bgColor theme="2"/>
        </patternFill>
      </fill>
    </dxf>
    <dxf>
      <fill>
        <patternFill>
          <bgColor theme="0"/>
        </patternFill>
      </fill>
    </dxf>
    <dxf>
      <font>
        <color theme="1"/>
      </font>
      <fill>
        <patternFill>
          <bgColor theme="2"/>
        </patternFill>
      </fill>
    </dxf>
    <dxf>
      <font>
        <color theme="0"/>
      </font>
      <fill>
        <patternFill>
          <bgColor theme="0"/>
        </patternFill>
      </fill>
    </dxf>
    <dxf>
      <font>
        <color theme="0"/>
      </font>
      <fill>
        <patternFill>
          <bgColor theme="0"/>
        </patternFill>
      </fill>
    </dxf>
    <dxf>
      <font>
        <color theme="1"/>
      </font>
      <fill>
        <patternFill>
          <bgColor theme="2"/>
        </patternFill>
      </fill>
    </dxf>
    <dxf>
      <font>
        <color theme="0"/>
      </font>
      <fill>
        <patternFill>
          <bgColor theme="0"/>
        </patternFill>
      </fill>
    </dxf>
    <dxf>
      <font>
        <color theme="1"/>
      </font>
      <fill>
        <patternFill>
          <bgColor theme="2"/>
        </patternFill>
      </fill>
    </dxf>
    <dxf>
      <font>
        <color theme="0"/>
      </font>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1"/>
      </font>
      <fill>
        <patternFill>
          <bgColor theme="2"/>
        </patternFill>
      </fill>
    </dxf>
    <dxf>
      <fill>
        <patternFill>
          <bgColor theme="0"/>
        </patternFill>
      </fill>
    </dxf>
    <dxf>
      <fill>
        <patternFill>
          <bgColor theme="0"/>
        </patternFill>
      </fill>
    </dxf>
    <dxf>
      <font>
        <color theme="1"/>
      </font>
      <fill>
        <patternFill>
          <bgColor theme="2"/>
        </patternFill>
      </fill>
    </dxf>
    <dxf>
      <fill>
        <patternFill>
          <bgColor theme="0"/>
        </patternFill>
      </fill>
    </dxf>
    <dxf>
      <font>
        <color theme="0"/>
      </font>
      <fill>
        <patternFill>
          <bgColor theme="0"/>
        </patternFill>
      </fill>
    </dxf>
    <dxf>
      <font>
        <color theme="1"/>
      </font>
      <fill>
        <patternFill>
          <bgColor theme="2"/>
        </patternFill>
      </fill>
    </dxf>
    <dxf>
      <fill>
        <patternFill>
          <bgColor theme="0"/>
        </patternFill>
      </fill>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fill>
        <patternFill>
          <bgColor theme="0"/>
        </patternFill>
      </fill>
    </dxf>
    <dxf>
      <font>
        <color theme="1"/>
      </font>
      <fill>
        <patternFill>
          <bgColor theme="5"/>
        </patternFill>
      </fill>
    </dxf>
    <dxf>
      <font>
        <color theme="1"/>
      </font>
      <fill>
        <patternFill>
          <bgColor theme="5"/>
        </patternFill>
      </fill>
    </dxf>
    <dxf>
      <fill>
        <patternFill>
          <bgColor theme="5"/>
        </patternFill>
      </fill>
      <border>
        <left/>
        <right style="thin">
          <color auto="1"/>
        </right>
        <top style="thin">
          <color auto="1"/>
        </top>
        <bottom style="thin">
          <color auto="1"/>
        </bottom>
        <vertical/>
        <horizontal/>
      </border>
    </dxf>
    <dxf>
      <font>
        <color theme="5"/>
      </font>
      <fill>
        <patternFill>
          <bgColor theme="5"/>
        </patternFill>
      </fill>
    </dxf>
    <dxf>
      <fill>
        <patternFill>
          <bgColor theme="0"/>
        </patternFill>
      </fill>
    </dxf>
    <dxf>
      <font>
        <color theme="5" tint="0.39994506668294322"/>
      </font>
    </dxf>
    <dxf>
      <font>
        <color theme="0"/>
      </font>
      <fill>
        <patternFill>
          <bgColor theme="0"/>
        </patternFill>
      </fill>
    </dxf>
    <dxf>
      <font>
        <color theme="0"/>
      </font>
      <fill>
        <patternFill>
          <bgColor theme="0"/>
        </patternFill>
      </fill>
      <border>
        <left/>
        <right/>
        <top style="thin">
          <color auto="1"/>
        </top>
        <bottom/>
        <vertical/>
        <horizontal/>
      </border>
    </dxf>
    <dxf>
      <font>
        <color theme="0"/>
      </font>
      <fill>
        <patternFill>
          <bgColor theme="0"/>
        </patternFill>
      </fill>
    </dxf>
    <dxf>
      <fill>
        <patternFill>
          <bgColor theme="5" tint="0.39994506668294322"/>
        </patternFill>
      </fill>
    </dxf>
    <dxf>
      <font>
        <color theme="5" tint="0.39994506668294322"/>
      </font>
    </dxf>
    <dxf>
      <fill>
        <patternFill>
          <bgColor theme="5" tint="0.39994506668294322"/>
        </patternFill>
      </fill>
    </dxf>
    <dxf>
      <font>
        <color theme="3"/>
      </font>
    </dxf>
    <dxf>
      <font>
        <color theme="3"/>
      </font>
      <fill>
        <patternFill>
          <bgColor theme="5" tint="0.39994506668294322"/>
        </patternFill>
      </fill>
    </dxf>
    <dxf>
      <font>
        <color theme="5" tint="0.39994506668294322"/>
      </font>
    </dxf>
    <dxf>
      <font>
        <color theme="5" tint="0.39994506668294322"/>
      </font>
    </dxf>
    <dxf>
      <font>
        <color theme="5" tint="0.39994506668294322"/>
      </font>
    </dxf>
    <dxf>
      <font>
        <color theme="5" tint="0.39994506668294322"/>
      </font>
    </dxf>
    <dxf>
      <font>
        <color theme="5" tint="0.39994506668294322"/>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5" tint="0.39994506668294322"/>
      </font>
    </dxf>
    <dxf>
      <font>
        <color theme="0"/>
      </font>
      <fill>
        <patternFill>
          <bgColor theme="0"/>
        </patternFill>
      </fill>
    </dxf>
    <dxf>
      <font>
        <color theme="0"/>
      </font>
      <fill>
        <patternFill>
          <bgColor theme="0"/>
        </patternFill>
      </fill>
    </dxf>
    <dxf>
      <font>
        <color theme="5" tint="0.39994506668294322"/>
      </font>
    </dxf>
    <dxf>
      <font>
        <color theme="5" tint="0.39994506668294322"/>
      </font>
    </dxf>
    <dxf>
      <font>
        <color theme="0"/>
      </font>
      <fill>
        <patternFill>
          <bgColor theme="0"/>
        </patternFill>
      </fill>
    </dxf>
    <dxf>
      <font>
        <color theme="0"/>
      </font>
      <fill>
        <patternFill>
          <bgColor theme="0"/>
        </patternFill>
      </fill>
    </dxf>
    <dxf>
      <font>
        <color theme="0"/>
      </font>
      <fill>
        <patternFill>
          <bgColor theme="0"/>
        </patternFill>
      </fill>
    </dxf>
    <dxf>
      <font>
        <color theme="5"/>
      </font>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5B68B"/>
      <color rgb="FF008000"/>
      <color rgb="FFF19D69"/>
      <color rgb="FF006C31"/>
      <color rgb="FFE5E5E3"/>
      <color rgb="FF1533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xdr:from>
      <xdr:col>4</xdr:col>
      <xdr:colOff>2609850</xdr:colOff>
      <xdr:row>52</xdr:row>
      <xdr:rowOff>171450</xdr:rowOff>
    </xdr:from>
    <xdr:to>
      <xdr:col>4</xdr:col>
      <xdr:colOff>3181350</xdr:colOff>
      <xdr:row>54</xdr:row>
      <xdr:rowOff>76200</xdr:rowOff>
    </xdr:to>
    <xdr:sp macro="" textlink="">
      <xdr:nvSpPr>
        <xdr:cNvPr id="19457" name="Text Box 1">
          <a:extLst>
            <a:ext uri="{FF2B5EF4-FFF2-40B4-BE49-F238E27FC236}">
              <a16:creationId xmlns:a16="http://schemas.microsoft.com/office/drawing/2014/main" id="{5C4A2AE9-1A7A-497B-A597-3F6BCC582F81}"/>
            </a:ext>
          </a:extLst>
        </xdr:cNvPr>
        <xdr:cNvSpPr txBox="1">
          <a:spLocks noChangeArrowheads="1"/>
        </xdr:cNvSpPr>
      </xdr:nvSpPr>
      <xdr:spPr bwMode="auto">
        <a:xfrm>
          <a:off x="5276850" y="10372725"/>
          <a:ext cx="571500" cy="285750"/>
        </a:xfrm>
        <a:prstGeom prst="rect">
          <a:avLst/>
        </a:prstGeom>
        <a:solidFill>
          <a:srgbClr val="FFFFFF"/>
        </a:solidFill>
        <a:ln w="12700">
          <a:solidFill>
            <a:srgbClr val="FFFFFF"/>
          </a:solid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imes New Roman"/>
              <a:cs typeface="Times New Roman"/>
            </a:rPr>
            <a:t>Yes</a:t>
          </a:r>
          <a:endParaRPr lang="en-GB" sz="1050" b="1" i="0" u="none" strike="noStrike" baseline="0">
            <a:solidFill>
              <a:srgbClr val="000000"/>
            </a:solidFill>
            <a:latin typeface="Times New Roman"/>
            <a:cs typeface="Times New Roman"/>
          </a:endParaRPr>
        </a:p>
      </xdr:txBody>
    </xdr:sp>
    <xdr:clientData/>
  </xdr:twoCellAnchor>
  <xdr:twoCellAnchor>
    <xdr:from>
      <xdr:col>3</xdr:col>
      <xdr:colOff>704850</xdr:colOff>
      <xdr:row>46</xdr:row>
      <xdr:rowOff>142875</xdr:rowOff>
    </xdr:from>
    <xdr:to>
      <xdr:col>4</xdr:col>
      <xdr:colOff>504825</xdr:colOff>
      <xdr:row>48</xdr:row>
      <xdr:rowOff>47625</xdr:rowOff>
    </xdr:to>
    <xdr:sp macro="" textlink="">
      <xdr:nvSpPr>
        <xdr:cNvPr id="19458" name="Text Box 66">
          <a:extLst>
            <a:ext uri="{FF2B5EF4-FFF2-40B4-BE49-F238E27FC236}">
              <a16:creationId xmlns:a16="http://schemas.microsoft.com/office/drawing/2014/main" id="{D8409A23-647E-4336-8FF5-037D5A8C400D}"/>
            </a:ext>
          </a:extLst>
        </xdr:cNvPr>
        <xdr:cNvSpPr txBox="1">
          <a:spLocks noChangeArrowheads="1"/>
        </xdr:cNvSpPr>
      </xdr:nvSpPr>
      <xdr:spPr bwMode="auto">
        <a:xfrm>
          <a:off x="2533650" y="9201150"/>
          <a:ext cx="638175" cy="285750"/>
        </a:xfrm>
        <a:prstGeom prst="rect">
          <a:avLst/>
        </a:prstGeom>
        <a:solidFill>
          <a:srgbClr val="FFFFFF"/>
        </a:solidFill>
        <a:ln w="12700">
          <a:solidFill>
            <a:srgbClr val="FFFFFF"/>
          </a:solid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imes New Roman"/>
              <a:cs typeface="Times New Roman"/>
            </a:rPr>
            <a:t>No</a:t>
          </a:r>
        </a:p>
      </xdr:txBody>
    </xdr:sp>
    <xdr:clientData/>
  </xdr:twoCellAnchor>
  <xdr:twoCellAnchor>
    <xdr:from>
      <xdr:col>4</xdr:col>
      <xdr:colOff>2266950</xdr:colOff>
      <xdr:row>5</xdr:row>
      <xdr:rowOff>9525</xdr:rowOff>
    </xdr:from>
    <xdr:to>
      <xdr:col>4</xdr:col>
      <xdr:colOff>2838450</xdr:colOff>
      <xdr:row>6</xdr:row>
      <xdr:rowOff>85725</xdr:rowOff>
    </xdr:to>
    <xdr:sp macro="" textlink="">
      <xdr:nvSpPr>
        <xdr:cNvPr id="19482" name="Flowchart: Alternate Process 5">
          <a:extLst>
            <a:ext uri="{FF2B5EF4-FFF2-40B4-BE49-F238E27FC236}">
              <a16:creationId xmlns:a16="http://schemas.microsoft.com/office/drawing/2014/main" id="{7D3BB3ED-342B-49DB-9215-0A24F169543E}"/>
            </a:ext>
          </a:extLst>
        </xdr:cNvPr>
        <xdr:cNvSpPr>
          <a:spLocks noChangeArrowheads="1"/>
        </xdr:cNvSpPr>
      </xdr:nvSpPr>
      <xdr:spPr bwMode="auto">
        <a:xfrm>
          <a:off x="4933950" y="1028700"/>
          <a:ext cx="571500" cy="276225"/>
        </a:xfrm>
        <a:prstGeom prst="flowChartAlternateProcess">
          <a:avLst/>
        </a:prstGeom>
        <a:solidFill>
          <a:schemeClr val="bg1"/>
        </a:solidFill>
        <a:ln w="12700">
          <a:solidFill>
            <a:srgbClr val="000000"/>
          </a:solidFill>
          <a:miter lim="800000"/>
          <a:headEnd/>
          <a:tailEnd/>
        </a:ln>
      </xdr:spPr>
      <xdr:txBody>
        <a:bodyPr vertOverflow="clip" wrap="square" lIns="91440" tIns="45720" rIns="91440" bIns="45720" anchor="ctr" upright="1"/>
        <a:lstStyle/>
        <a:p>
          <a:pPr algn="ctr" rtl="0">
            <a:defRPr sz="1000"/>
          </a:pPr>
          <a:r>
            <a:rPr lang="en-GB" sz="1400" b="0" i="0" u="none" strike="noStrike" baseline="0">
              <a:solidFill>
                <a:schemeClr val="tx1"/>
              </a:solidFill>
              <a:latin typeface="Times New Roman"/>
              <a:cs typeface="Times New Roman"/>
            </a:rPr>
            <a:t>Start</a:t>
          </a:r>
        </a:p>
      </xdr:txBody>
    </xdr:sp>
    <xdr:clientData/>
  </xdr:twoCellAnchor>
  <xdr:twoCellAnchor>
    <xdr:from>
      <xdr:col>4</xdr:col>
      <xdr:colOff>38099</xdr:colOff>
      <xdr:row>8</xdr:row>
      <xdr:rowOff>190500</xdr:rowOff>
    </xdr:from>
    <xdr:to>
      <xdr:col>4</xdr:col>
      <xdr:colOff>5067300</xdr:colOff>
      <xdr:row>10</xdr:row>
      <xdr:rowOff>57150</xdr:rowOff>
    </xdr:to>
    <xdr:sp macro="" textlink="">
      <xdr:nvSpPr>
        <xdr:cNvPr id="19481" name="Flowchart: Process 7">
          <a:extLst>
            <a:ext uri="{FF2B5EF4-FFF2-40B4-BE49-F238E27FC236}">
              <a16:creationId xmlns:a16="http://schemas.microsoft.com/office/drawing/2014/main" id="{A79CFD95-9F50-48B4-B30F-DF0A5528D685}"/>
            </a:ext>
          </a:extLst>
        </xdr:cNvPr>
        <xdr:cNvSpPr>
          <a:spLocks noChangeArrowheads="1"/>
        </xdr:cNvSpPr>
      </xdr:nvSpPr>
      <xdr:spPr bwMode="auto">
        <a:xfrm>
          <a:off x="2705099" y="1809750"/>
          <a:ext cx="5029201" cy="266700"/>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GB" sz="1400" b="0" i="0" u="none" strike="noStrike" baseline="0">
              <a:solidFill>
                <a:srgbClr val="000000"/>
              </a:solidFill>
              <a:latin typeface="Times New Roman"/>
              <a:cs typeface="Times New Roman"/>
            </a:rPr>
            <a:t>Conduct Soil Resistivity Test on Accessible Field in Installation Site</a:t>
          </a:r>
        </a:p>
      </xdr:txBody>
    </xdr:sp>
    <xdr:clientData/>
  </xdr:twoCellAnchor>
  <xdr:twoCellAnchor>
    <xdr:from>
      <xdr:col>4</xdr:col>
      <xdr:colOff>762000</xdr:colOff>
      <xdr:row>13</xdr:row>
      <xdr:rowOff>104775</xdr:rowOff>
    </xdr:from>
    <xdr:to>
      <xdr:col>4</xdr:col>
      <xdr:colOff>4352925</xdr:colOff>
      <xdr:row>15</xdr:row>
      <xdr:rowOff>9525</xdr:rowOff>
    </xdr:to>
    <xdr:sp macro="" textlink="">
      <xdr:nvSpPr>
        <xdr:cNvPr id="19480" name="Flowchart: Process 9">
          <a:extLst>
            <a:ext uri="{FF2B5EF4-FFF2-40B4-BE49-F238E27FC236}">
              <a16:creationId xmlns:a16="http://schemas.microsoft.com/office/drawing/2014/main" id="{97727921-823D-4538-8D27-1DB344CFE796}"/>
            </a:ext>
          </a:extLst>
        </xdr:cNvPr>
        <xdr:cNvSpPr>
          <a:spLocks noChangeArrowheads="1"/>
        </xdr:cNvSpPr>
      </xdr:nvSpPr>
      <xdr:spPr bwMode="auto">
        <a:xfrm>
          <a:off x="3429000" y="2714625"/>
          <a:ext cx="3590925" cy="285750"/>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GB" sz="1400" b="0" i="0" u="none" strike="noStrike" baseline="0">
              <a:solidFill>
                <a:srgbClr val="000000"/>
              </a:solidFill>
              <a:latin typeface="Times New Roman"/>
              <a:cs typeface="Times New Roman"/>
            </a:rPr>
            <a:t>Review Client Design Specification if available</a:t>
          </a:r>
        </a:p>
      </xdr:txBody>
    </xdr:sp>
    <xdr:clientData/>
  </xdr:twoCellAnchor>
  <xdr:twoCellAnchor>
    <xdr:from>
      <xdr:col>4</xdr:col>
      <xdr:colOff>733425</xdr:colOff>
      <xdr:row>17</xdr:row>
      <xdr:rowOff>142875</xdr:rowOff>
    </xdr:from>
    <xdr:to>
      <xdr:col>4</xdr:col>
      <xdr:colOff>4371975</xdr:colOff>
      <xdr:row>19</xdr:row>
      <xdr:rowOff>28575</xdr:rowOff>
    </xdr:to>
    <xdr:sp macro="" textlink="">
      <xdr:nvSpPr>
        <xdr:cNvPr id="19479" name="Flowchart: Process 10">
          <a:extLst>
            <a:ext uri="{FF2B5EF4-FFF2-40B4-BE49-F238E27FC236}">
              <a16:creationId xmlns:a16="http://schemas.microsoft.com/office/drawing/2014/main" id="{405EAF2E-ED3C-4FE9-B4C4-5C8BF8B2F391}"/>
            </a:ext>
          </a:extLst>
        </xdr:cNvPr>
        <xdr:cNvSpPr>
          <a:spLocks noChangeArrowheads="1"/>
        </xdr:cNvSpPr>
      </xdr:nvSpPr>
      <xdr:spPr bwMode="auto">
        <a:xfrm>
          <a:off x="3400425" y="3533775"/>
          <a:ext cx="3638550" cy="285750"/>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GB" sz="1400" b="0" i="0" u="none" strike="noStrike" baseline="0">
              <a:solidFill>
                <a:srgbClr val="000000"/>
              </a:solidFill>
              <a:latin typeface="Times New Roman"/>
              <a:cs typeface="Times New Roman"/>
            </a:rPr>
            <a:t>Review National Requirements Documentation</a:t>
          </a:r>
        </a:p>
      </xdr:txBody>
    </xdr:sp>
    <xdr:clientData/>
  </xdr:twoCellAnchor>
  <xdr:twoCellAnchor>
    <xdr:from>
      <xdr:col>4</xdr:col>
      <xdr:colOff>2324100</xdr:colOff>
      <xdr:row>61</xdr:row>
      <xdr:rowOff>76200</xdr:rowOff>
    </xdr:from>
    <xdr:to>
      <xdr:col>4</xdr:col>
      <xdr:colOff>2847975</xdr:colOff>
      <xdr:row>63</xdr:row>
      <xdr:rowOff>28575</xdr:rowOff>
    </xdr:to>
    <xdr:sp macro="" textlink="">
      <xdr:nvSpPr>
        <xdr:cNvPr id="19478" name="Flowchart: Alternate Process 12">
          <a:extLst>
            <a:ext uri="{FF2B5EF4-FFF2-40B4-BE49-F238E27FC236}">
              <a16:creationId xmlns:a16="http://schemas.microsoft.com/office/drawing/2014/main" id="{B31C8062-05B9-4D0D-864F-7248761D11E1}"/>
            </a:ext>
          </a:extLst>
        </xdr:cNvPr>
        <xdr:cNvSpPr>
          <a:spLocks noChangeArrowheads="1"/>
        </xdr:cNvSpPr>
      </xdr:nvSpPr>
      <xdr:spPr bwMode="auto">
        <a:xfrm>
          <a:off x="4991100" y="11991975"/>
          <a:ext cx="523875" cy="342900"/>
        </a:xfrm>
        <a:prstGeom prst="flowChartAlternateProcess">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en-GB" sz="1400" b="0" i="0" u="none" strike="noStrike" baseline="0">
              <a:solidFill>
                <a:srgbClr val="000000"/>
              </a:solidFill>
              <a:latin typeface="Times New Roman"/>
              <a:cs typeface="Times New Roman"/>
            </a:rPr>
            <a:t>End</a:t>
          </a:r>
        </a:p>
      </xdr:txBody>
    </xdr:sp>
    <xdr:clientData/>
  </xdr:twoCellAnchor>
  <xdr:twoCellAnchor>
    <xdr:from>
      <xdr:col>4</xdr:col>
      <xdr:colOff>361949</xdr:colOff>
      <xdr:row>56</xdr:row>
      <xdr:rowOff>152401</xdr:rowOff>
    </xdr:from>
    <xdr:to>
      <xdr:col>4</xdr:col>
      <xdr:colOff>4791074</xdr:colOff>
      <xdr:row>58</xdr:row>
      <xdr:rowOff>57151</xdr:rowOff>
    </xdr:to>
    <xdr:sp macro="" textlink="">
      <xdr:nvSpPr>
        <xdr:cNvPr id="19477" name="Flowchart: Data 14">
          <a:extLst>
            <a:ext uri="{FF2B5EF4-FFF2-40B4-BE49-F238E27FC236}">
              <a16:creationId xmlns:a16="http://schemas.microsoft.com/office/drawing/2014/main" id="{B01A1C66-FFC4-4E5C-BD56-8CF35BC79628}"/>
            </a:ext>
          </a:extLst>
        </xdr:cNvPr>
        <xdr:cNvSpPr>
          <a:spLocks noChangeArrowheads="1"/>
        </xdr:cNvSpPr>
      </xdr:nvSpPr>
      <xdr:spPr bwMode="auto">
        <a:xfrm>
          <a:off x="3028949" y="11115676"/>
          <a:ext cx="4429125" cy="285750"/>
        </a:xfrm>
        <a:prstGeom prst="flowChartInputOutpu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GB" sz="1400" b="0" i="0" u="none" strike="noStrike" baseline="0">
              <a:solidFill>
                <a:srgbClr val="000000"/>
              </a:solidFill>
              <a:latin typeface="Times New Roman"/>
              <a:cs typeface="Times New Roman"/>
            </a:rPr>
            <a:t>Proceed for Final Detailed Design</a:t>
          </a:r>
        </a:p>
        <a:p>
          <a:pPr algn="ctr" rtl="0">
            <a:defRPr sz="1000"/>
          </a:pPr>
          <a:r>
            <a:rPr lang="en-GB" sz="1400" b="0" i="0" u="none" strike="noStrike" baseline="0">
              <a:solidFill>
                <a:srgbClr val="000000"/>
              </a:solidFill>
              <a:latin typeface="Times New Roman"/>
              <a:cs typeface="Times New Roman"/>
            </a:rPr>
            <a:t> </a:t>
          </a:r>
        </a:p>
      </xdr:txBody>
    </xdr:sp>
    <xdr:clientData/>
  </xdr:twoCellAnchor>
  <xdr:twoCellAnchor>
    <xdr:from>
      <xdr:col>4</xdr:col>
      <xdr:colOff>333374</xdr:colOff>
      <xdr:row>43</xdr:row>
      <xdr:rowOff>161925</xdr:rowOff>
    </xdr:from>
    <xdr:to>
      <xdr:col>4</xdr:col>
      <xdr:colOff>4800599</xdr:colOff>
      <xdr:row>52</xdr:row>
      <xdr:rowOff>142875</xdr:rowOff>
    </xdr:to>
    <xdr:sp macro="" textlink="">
      <xdr:nvSpPr>
        <xdr:cNvPr id="19476" name="Diamond 15">
          <a:extLst>
            <a:ext uri="{FF2B5EF4-FFF2-40B4-BE49-F238E27FC236}">
              <a16:creationId xmlns:a16="http://schemas.microsoft.com/office/drawing/2014/main" id="{F5BBDA03-1505-44BA-9D17-5365705E0950}"/>
            </a:ext>
          </a:extLst>
        </xdr:cNvPr>
        <xdr:cNvSpPr>
          <a:spLocks noChangeArrowheads="1"/>
        </xdr:cNvSpPr>
      </xdr:nvSpPr>
      <xdr:spPr bwMode="auto">
        <a:xfrm>
          <a:off x="3000374" y="8648700"/>
          <a:ext cx="4467225" cy="1695450"/>
        </a:xfrm>
        <a:prstGeom prst="diamond">
          <a:avLst/>
        </a:prstGeom>
        <a:solidFill>
          <a:srgbClr val="FFFFFF"/>
        </a:solidFill>
        <a:ln w="19050">
          <a:solidFill>
            <a:srgbClr val="000000"/>
          </a:solidFill>
          <a:miter lim="800000"/>
          <a:headEnd/>
          <a:tailEnd/>
        </a:ln>
      </xdr:spPr>
      <xdr:txBody>
        <a:bodyPr vertOverflow="clip" wrap="square" lIns="91440" tIns="45720" rIns="91440" bIns="45720" anchor="ctr" upright="1"/>
        <a:lstStyle/>
        <a:p>
          <a:pPr algn="ctr" rtl="0">
            <a:lnSpc>
              <a:spcPts val="1600"/>
            </a:lnSpc>
            <a:spcBef>
              <a:spcPts val="600"/>
            </a:spcBef>
            <a:spcAft>
              <a:spcPts val="600"/>
            </a:spcAft>
            <a:defRPr sz="1000"/>
          </a:pPr>
          <a:r>
            <a:rPr lang="en-GB" sz="1400" b="0" i="0" u="none" strike="noStrike" baseline="0">
              <a:solidFill>
                <a:srgbClr val="000000"/>
              </a:solidFill>
              <a:latin typeface="Times New Roman"/>
              <a:cs typeface="Times New Roman"/>
            </a:rPr>
            <a:t>Are the Values of Step &amp; Touch Voltages &amp; Resistance Acceptable?</a:t>
          </a:r>
        </a:p>
      </xdr:txBody>
    </xdr:sp>
    <xdr:clientData/>
  </xdr:twoCellAnchor>
  <xdr:twoCellAnchor>
    <xdr:from>
      <xdr:col>3</xdr:col>
      <xdr:colOff>485774</xdr:colOff>
      <xdr:row>22</xdr:row>
      <xdr:rowOff>190499</xdr:rowOff>
    </xdr:from>
    <xdr:to>
      <xdr:col>5</xdr:col>
      <xdr:colOff>47624</xdr:colOff>
      <xdr:row>26</xdr:row>
      <xdr:rowOff>161924</xdr:rowOff>
    </xdr:to>
    <xdr:sp macro="" textlink="">
      <xdr:nvSpPr>
        <xdr:cNvPr id="19475" name="Flowchart: Data 21">
          <a:extLst>
            <a:ext uri="{FF2B5EF4-FFF2-40B4-BE49-F238E27FC236}">
              <a16:creationId xmlns:a16="http://schemas.microsoft.com/office/drawing/2014/main" id="{F1DD9355-C9C1-41A4-990C-2D6C7A9F164F}"/>
            </a:ext>
          </a:extLst>
        </xdr:cNvPr>
        <xdr:cNvSpPr>
          <a:spLocks noChangeArrowheads="1"/>
        </xdr:cNvSpPr>
      </xdr:nvSpPr>
      <xdr:spPr bwMode="auto">
        <a:xfrm>
          <a:off x="2314574" y="4581524"/>
          <a:ext cx="5514975" cy="771525"/>
        </a:xfrm>
        <a:prstGeom prst="flowChartInputOutpu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GB" sz="1400" b="0" i="0" u="none" strike="noStrike" baseline="0">
              <a:solidFill>
                <a:srgbClr val="000000"/>
              </a:solidFill>
              <a:latin typeface="Times New Roman"/>
              <a:cs typeface="Times New Roman"/>
            </a:rPr>
            <a:t>Conduct Preliminary Layout Design                          of Earthing Electrode Configuration &amp; Size &amp; Earthing Conductor Size            </a:t>
          </a:r>
        </a:p>
        <a:p>
          <a:pPr algn="ctr" rtl="0">
            <a:defRPr sz="1000"/>
          </a:pPr>
          <a:r>
            <a:rPr lang="en-GB" sz="1400" b="0" i="0" u="none" strike="noStrike" baseline="0">
              <a:solidFill>
                <a:srgbClr val="000000"/>
              </a:solidFill>
              <a:latin typeface="Times New Roman"/>
              <a:cs typeface="Times New Roman"/>
            </a:rPr>
            <a:t> </a:t>
          </a:r>
        </a:p>
        <a:p>
          <a:pPr algn="ctr" rtl="0">
            <a:defRPr sz="1000"/>
          </a:pPr>
          <a:r>
            <a:rPr lang="en-GB" sz="1400" b="0" i="0" u="none" strike="noStrike" baseline="0">
              <a:solidFill>
                <a:srgbClr val="000000"/>
              </a:solidFill>
              <a:latin typeface="Times New Roman"/>
              <a:cs typeface="Times New Roman"/>
            </a:rPr>
            <a:t> </a:t>
          </a:r>
        </a:p>
      </xdr:txBody>
    </xdr:sp>
    <xdr:clientData/>
  </xdr:twoCellAnchor>
  <xdr:twoCellAnchor>
    <xdr:from>
      <xdr:col>4</xdr:col>
      <xdr:colOff>495300</xdr:colOff>
      <xdr:row>29</xdr:row>
      <xdr:rowOff>114300</xdr:rowOff>
    </xdr:from>
    <xdr:to>
      <xdr:col>4</xdr:col>
      <xdr:colOff>4274344</xdr:colOff>
      <xdr:row>31</xdr:row>
      <xdr:rowOff>19050</xdr:rowOff>
    </xdr:to>
    <xdr:sp macro="" textlink="">
      <xdr:nvSpPr>
        <xdr:cNvPr id="19474" name="Flowchart: Process 22">
          <a:extLst>
            <a:ext uri="{FF2B5EF4-FFF2-40B4-BE49-F238E27FC236}">
              <a16:creationId xmlns:a16="http://schemas.microsoft.com/office/drawing/2014/main" id="{324E1B70-FAFC-4167-95B9-27F9BE07FF37}"/>
            </a:ext>
          </a:extLst>
        </xdr:cNvPr>
        <xdr:cNvSpPr>
          <a:spLocks noChangeArrowheads="1"/>
        </xdr:cNvSpPr>
      </xdr:nvSpPr>
      <xdr:spPr bwMode="auto">
        <a:xfrm>
          <a:off x="2650331" y="5936456"/>
          <a:ext cx="3779044" cy="297657"/>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GB" sz="1400" b="0" i="0" u="none" strike="noStrike" baseline="0">
              <a:solidFill>
                <a:srgbClr val="000000"/>
              </a:solidFill>
              <a:latin typeface="Times New Roman"/>
              <a:cs typeface="Times New Roman"/>
            </a:rPr>
            <a:t>Calculate Earthing Resistance</a:t>
          </a:r>
          <a:r>
            <a:rPr lang="en-GB" sz="1400" b="0" i="0" u="none" strike="noStrike" baseline="-25000">
              <a:solidFill>
                <a:srgbClr val="000000"/>
              </a:solidFill>
              <a:latin typeface="Times New Roman"/>
              <a:cs typeface="Times New Roman"/>
            </a:rPr>
            <a:t> </a:t>
          </a:r>
          <a:r>
            <a:rPr lang="en-GB" sz="1400" b="0" i="0" u="none" strike="noStrike" baseline="0">
              <a:solidFill>
                <a:srgbClr val="000000"/>
              </a:solidFill>
              <a:latin typeface="Times New Roman"/>
              <a:cs typeface="Times New Roman"/>
            </a:rPr>
            <a:t>using this Template</a:t>
          </a:r>
        </a:p>
      </xdr:txBody>
    </xdr:sp>
    <xdr:clientData/>
  </xdr:twoCellAnchor>
  <xdr:twoCellAnchor>
    <xdr:from>
      <xdr:col>3</xdr:col>
      <xdr:colOff>781050</xdr:colOff>
      <xdr:row>34</xdr:row>
      <xdr:rowOff>114300</xdr:rowOff>
    </xdr:from>
    <xdr:to>
      <xdr:col>4</xdr:col>
      <xdr:colOff>5345907</xdr:colOff>
      <xdr:row>36</xdr:row>
      <xdr:rowOff>11906</xdr:rowOff>
    </xdr:to>
    <xdr:sp macro="" textlink="">
      <xdr:nvSpPr>
        <xdr:cNvPr id="19473" name="Flowchart: Process 23">
          <a:extLst>
            <a:ext uri="{FF2B5EF4-FFF2-40B4-BE49-F238E27FC236}">
              <a16:creationId xmlns:a16="http://schemas.microsoft.com/office/drawing/2014/main" id="{E0924994-0E68-4A20-BAB1-8D92B3E6B230}"/>
            </a:ext>
          </a:extLst>
        </xdr:cNvPr>
        <xdr:cNvSpPr>
          <a:spLocks noChangeArrowheads="1"/>
        </xdr:cNvSpPr>
      </xdr:nvSpPr>
      <xdr:spPr bwMode="auto">
        <a:xfrm>
          <a:off x="2102644" y="6912769"/>
          <a:ext cx="5398294" cy="290512"/>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GB" sz="1400" b="0" i="0" u="none" strike="noStrike" baseline="0">
              <a:solidFill>
                <a:srgbClr val="000000"/>
              </a:solidFill>
              <a:latin typeface="Times New Roman"/>
              <a:cs typeface="Times New Roman"/>
            </a:rPr>
            <a:t>Determine Maximum Fault Current flowing through the Earthing System</a:t>
          </a:r>
        </a:p>
      </xdr:txBody>
    </xdr:sp>
    <xdr:clientData/>
  </xdr:twoCellAnchor>
  <xdr:twoCellAnchor>
    <xdr:from>
      <xdr:col>4</xdr:col>
      <xdr:colOff>1362075</xdr:colOff>
      <xdr:row>38</xdr:row>
      <xdr:rowOff>142875</xdr:rowOff>
    </xdr:from>
    <xdr:to>
      <xdr:col>4</xdr:col>
      <xdr:colOff>3857625</xdr:colOff>
      <xdr:row>40</xdr:row>
      <xdr:rowOff>38100</xdr:rowOff>
    </xdr:to>
    <xdr:sp macro="" textlink="">
      <xdr:nvSpPr>
        <xdr:cNvPr id="19472" name="Flowchart: Process 24">
          <a:extLst>
            <a:ext uri="{FF2B5EF4-FFF2-40B4-BE49-F238E27FC236}">
              <a16:creationId xmlns:a16="http://schemas.microsoft.com/office/drawing/2014/main" id="{51FB278B-51C2-45C8-B1A7-47096CDD6583}"/>
            </a:ext>
          </a:extLst>
        </xdr:cNvPr>
        <xdr:cNvSpPr>
          <a:spLocks noChangeArrowheads="1"/>
        </xdr:cNvSpPr>
      </xdr:nvSpPr>
      <xdr:spPr bwMode="auto">
        <a:xfrm>
          <a:off x="4029075" y="7677150"/>
          <a:ext cx="2495550" cy="276225"/>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n-GB" sz="1400" b="0" i="0" u="none" strike="noStrike" baseline="0">
              <a:solidFill>
                <a:srgbClr val="000000"/>
              </a:solidFill>
              <a:latin typeface="Times New Roman"/>
              <a:cs typeface="Times New Roman"/>
            </a:rPr>
            <a:t>Analyse Step &amp; Touch Voltages</a:t>
          </a:r>
        </a:p>
      </xdr:txBody>
    </xdr:sp>
    <xdr:clientData/>
  </xdr:twoCellAnchor>
  <xdr:twoCellAnchor>
    <xdr:from>
      <xdr:col>1</xdr:col>
      <xdr:colOff>171450</xdr:colOff>
      <xdr:row>37</xdr:row>
      <xdr:rowOff>133350</xdr:rowOff>
    </xdr:from>
    <xdr:to>
      <xdr:col>3</xdr:col>
      <xdr:colOff>238125</xdr:colOff>
      <xdr:row>39</xdr:row>
      <xdr:rowOff>28575</xdr:rowOff>
    </xdr:to>
    <xdr:sp macro="" textlink="">
      <xdr:nvSpPr>
        <xdr:cNvPr id="19471" name="Flowchart: Process 32">
          <a:extLst>
            <a:ext uri="{FF2B5EF4-FFF2-40B4-BE49-F238E27FC236}">
              <a16:creationId xmlns:a16="http://schemas.microsoft.com/office/drawing/2014/main" id="{9808B89D-3694-4270-87BB-5EB5E095E14E}"/>
            </a:ext>
          </a:extLst>
        </xdr:cNvPr>
        <xdr:cNvSpPr>
          <a:spLocks noChangeArrowheads="1"/>
        </xdr:cNvSpPr>
      </xdr:nvSpPr>
      <xdr:spPr bwMode="auto">
        <a:xfrm>
          <a:off x="781050" y="7477125"/>
          <a:ext cx="1285875" cy="276225"/>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GB" sz="1400" b="0" i="0" u="none" strike="noStrike" baseline="0">
              <a:solidFill>
                <a:srgbClr val="000000"/>
              </a:solidFill>
              <a:latin typeface="Times New Roman"/>
              <a:cs typeface="Times New Roman"/>
            </a:rPr>
            <a:t>Modify Design</a:t>
          </a:r>
        </a:p>
      </xdr:txBody>
    </xdr:sp>
    <xdr:clientData/>
  </xdr:twoCellAnchor>
  <xdr:twoCellAnchor>
    <xdr:from>
      <xdr:col>4</xdr:col>
      <xdr:colOff>2576512</xdr:colOff>
      <xdr:row>58</xdr:row>
      <xdr:rowOff>57151</xdr:rowOff>
    </xdr:from>
    <xdr:to>
      <xdr:col>4</xdr:col>
      <xdr:colOff>2592705</xdr:colOff>
      <xdr:row>61</xdr:row>
      <xdr:rowOff>59055</xdr:rowOff>
    </xdr:to>
    <xdr:cxnSp macro="">
      <xdr:nvCxnSpPr>
        <xdr:cNvPr id="22" name="Straight Arrow Connector 21">
          <a:extLst>
            <a:ext uri="{FF2B5EF4-FFF2-40B4-BE49-F238E27FC236}">
              <a16:creationId xmlns:a16="http://schemas.microsoft.com/office/drawing/2014/main" id="{3AAD6108-42F8-4A19-AEFF-C0A2608CE289}"/>
            </a:ext>
          </a:extLst>
        </xdr:cNvPr>
        <xdr:cNvCxnSpPr>
          <a:stCxn id="19477" idx="4"/>
        </xdr:cNvCxnSpPr>
      </xdr:nvCxnSpPr>
      <xdr:spPr>
        <a:xfrm>
          <a:off x="5243512" y="11401426"/>
          <a:ext cx="16193" cy="5734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510540</xdr:colOff>
      <xdr:row>96</xdr:row>
      <xdr:rowOff>97155</xdr:rowOff>
    </xdr:from>
    <xdr:to>
      <xdr:col>10</xdr:col>
      <xdr:colOff>510540</xdr:colOff>
      <xdr:row>97</xdr:row>
      <xdr:rowOff>140970</xdr:rowOff>
    </xdr:to>
    <xdr:cxnSp macro="">
      <xdr:nvCxnSpPr>
        <xdr:cNvPr id="25" name="Straight Arrow Connector 24">
          <a:extLst>
            <a:ext uri="{FF2B5EF4-FFF2-40B4-BE49-F238E27FC236}">
              <a16:creationId xmlns:a16="http://schemas.microsoft.com/office/drawing/2014/main" id="{19561893-0229-465B-92DE-A34F91675D7F}"/>
            </a:ext>
          </a:extLst>
        </xdr:cNvPr>
        <xdr:cNvCxnSpPr/>
      </xdr:nvCxnSpPr>
      <xdr:spPr>
        <a:xfrm>
          <a:off x="4025265" y="8193405"/>
          <a:ext cx="0" cy="2343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2524125</xdr:colOff>
      <xdr:row>31</xdr:row>
      <xdr:rowOff>19050</xdr:rowOff>
    </xdr:from>
    <xdr:to>
      <xdr:col>4</xdr:col>
      <xdr:colOff>2528888</xdr:colOff>
      <xdr:row>34</xdr:row>
      <xdr:rowOff>114300</xdr:rowOff>
    </xdr:to>
    <xdr:cxnSp macro="">
      <xdr:nvCxnSpPr>
        <xdr:cNvPr id="7" name="Straight Arrow Connector 6">
          <a:extLst>
            <a:ext uri="{FF2B5EF4-FFF2-40B4-BE49-F238E27FC236}">
              <a16:creationId xmlns:a16="http://schemas.microsoft.com/office/drawing/2014/main" id="{38EE2EF9-159B-45B5-B4BE-DE07B73B77D0}"/>
            </a:ext>
          </a:extLst>
        </xdr:cNvPr>
        <xdr:cNvCxnSpPr/>
      </xdr:nvCxnSpPr>
      <xdr:spPr>
        <a:xfrm flipH="1">
          <a:off x="4962525" y="6200775"/>
          <a:ext cx="4763" cy="676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2519363</xdr:colOff>
      <xdr:row>36</xdr:row>
      <xdr:rowOff>0</xdr:rowOff>
    </xdr:from>
    <xdr:to>
      <xdr:col>4</xdr:col>
      <xdr:colOff>2524125</xdr:colOff>
      <xdr:row>38</xdr:row>
      <xdr:rowOff>142875</xdr:rowOff>
    </xdr:to>
    <xdr:cxnSp macro="">
      <xdr:nvCxnSpPr>
        <xdr:cNvPr id="14" name="Straight Arrow Connector 13">
          <a:extLst>
            <a:ext uri="{FF2B5EF4-FFF2-40B4-BE49-F238E27FC236}">
              <a16:creationId xmlns:a16="http://schemas.microsoft.com/office/drawing/2014/main" id="{A050649E-C951-4896-A784-692151AFF559}"/>
            </a:ext>
          </a:extLst>
        </xdr:cNvPr>
        <xdr:cNvCxnSpPr/>
      </xdr:nvCxnSpPr>
      <xdr:spPr>
        <a:xfrm>
          <a:off x="4957763" y="7153275"/>
          <a:ext cx="4762" cy="52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2552700</xdr:colOff>
      <xdr:row>40</xdr:row>
      <xdr:rowOff>28575</xdr:rowOff>
    </xdr:from>
    <xdr:to>
      <xdr:col>4</xdr:col>
      <xdr:colOff>2552700</xdr:colOff>
      <xdr:row>43</xdr:row>
      <xdr:rowOff>171450</xdr:rowOff>
    </xdr:to>
    <xdr:cxnSp macro="">
      <xdr:nvCxnSpPr>
        <xdr:cNvPr id="30" name="Straight Arrow Connector 29">
          <a:extLst>
            <a:ext uri="{FF2B5EF4-FFF2-40B4-BE49-F238E27FC236}">
              <a16:creationId xmlns:a16="http://schemas.microsoft.com/office/drawing/2014/main" id="{84315F6E-7C85-4828-ABF9-A2C9A3B0CBC8}"/>
            </a:ext>
          </a:extLst>
        </xdr:cNvPr>
        <xdr:cNvCxnSpPr/>
      </xdr:nvCxnSpPr>
      <xdr:spPr>
        <a:xfrm>
          <a:off x="5219700" y="7943850"/>
          <a:ext cx="0" cy="7143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2552700</xdr:colOff>
      <xdr:row>6</xdr:row>
      <xdr:rowOff>85725</xdr:rowOff>
    </xdr:from>
    <xdr:to>
      <xdr:col>4</xdr:col>
      <xdr:colOff>2552700</xdr:colOff>
      <xdr:row>8</xdr:row>
      <xdr:rowOff>190500</xdr:rowOff>
    </xdr:to>
    <xdr:cxnSp macro="">
      <xdr:nvCxnSpPr>
        <xdr:cNvPr id="19461" name="Straight Arrow Connector 19460">
          <a:extLst>
            <a:ext uri="{FF2B5EF4-FFF2-40B4-BE49-F238E27FC236}">
              <a16:creationId xmlns:a16="http://schemas.microsoft.com/office/drawing/2014/main" id="{75574244-2BAB-4179-9B84-C884DE70BA64}"/>
            </a:ext>
          </a:extLst>
        </xdr:cNvPr>
        <xdr:cNvCxnSpPr>
          <a:stCxn id="19482" idx="2"/>
          <a:endCxn id="19481" idx="0"/>
        </xdr:cNvCxnSpPr>
      </xdr:nvCxnSpPr>
      <xdr:spPr>
        <a:xfrm>
          <a:off x="5219700" y="1304925"/>
          <a:ext cx="0" cy="504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2552700</xdr:colOff>
      <xdr:row>10</xdr:row>
      <xdr:rowOff>57150</xdr:rowOff>
    </xdr:from>
    <xdr:to>
      <xdr:col>4</xdr:col>
      <xdr:colOff>2557463</xdr:colOff>
      <xdr:row>13</xdr:row>
      <xdr:rowOff>104775</xdr:rowOff>
    </xdr:to>
    <xdr:cxnSp macro="">
      <xdr:nvCxnSpPr>
        <xdr:cNvPr id="19464" name="Straight Arrow Connector 19463">
          <a:extLst>
            <a:ext uri="{FF2B5EF4-FFF2-40B4-BE49-F238E27FC236}">
              <a16:creationId xmlns:a16="http://schemas.microsoft.com/office/drawing/2014/main" id="{23306B69-73BF-412B-B815-9EC5392E3248}"/>
            </a:ext>
          </a:extLst>
        </xdr:cNvPr>
        <xdr:cNvCxnSpPr>
          <a:stCxn id="19481" idx="2"/>
          <a:endCxn id="19480" idx="0"/>
        </xdr:cNvCxnSpPr>
      </xdr:nvCxnSpPr>
      <xdr:spPr>
        <a:xfrm>
          <a:off x="5219700" y="2076450"/>
          <a:ext cx="4763" cy="638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2552700</xdr:colOff>
      <xdr:row>15</xdr:row>
      <xdr:rowOff>9525</xdr:rowOff>
    </xdr:from>
    <xdr:to>
      <xdr:col>4</xdr:col>
      <xdr:colOff>2557463</xdr:colOff>
      <xdr:row>17</xdr:row>
      <xdr:rowOff>142875</xdr:rowOff>
    </xdr:to>
    <xdr:cxnSp macro="">
      <xdr:nvCxnSpPr>
        <xdr:cNvPr id="19485" name="Straight Arrow Connector 19484">
          <a:extLst>
            <a:ext uri="{FF2B5EF4-FFF2-40B4-BE49-F238E27FC236}">
              <a16:creationId xmlns:a16="http://schemas.microsoft.com/office/drawing/2014/main" id="{DAE75B53-9C5D-4AFF-8796-6697994505E0}"/>
            </a:ext>
          </a:extLst>
        </xdr:cNvPr>
        <xdr:cNvCxnSpPr>
          <a:stCxn id="19480" idx="2"/>
          <a:endCxn id="19479" idx="0"/>
        </xdr:cNvCxnSpPr>
      </xdr:nvCxnSpPr>
      <xdr:spPr>
        <a:xfrm flipH="1">
          <a:off x="5219700" y="3000375"/>
          <a:ext cx="4763" cy="533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2552700</xdr:colOff>
      <xdr:row>19</xdr:row>
      <xdr:rowOff>28575</xdr:rowOff>
    </xdr:from>
    <xdr:to>
      <xdr:col>4</xdr:col>
      <xdr:colOff>2562225</xdr:colOff>
      <xdr:row>22</xdr:row>
      <xdr:rowOff>190500</xdr:rowOff>
    </xdr:to>
    <xdr:cxnSp macro="">
      <xdr:nvCxnSpPr>
        <xdr:cNvPr id="19487" name="Straight Arrow Connector 19486">
          <a:extLst>
            <a:ext uri="{FF2B5EF4-FFF2-40B4-BE49-F238E27FC236}">
              <a16:creationId xmlns:a16="http://schemas.microsoft.com/office/drawing/2014/main" id="{F83CC5C9-6906-4D99-9AAC-140FC06156F8}"/>
            </a:ext>
          </a:extLst>
        </xdr:cNvPr>
        <xdr:cNvCxnSpPr>
          <a:stCxn id="19479" idx="2"/>
        </xdr:cNvCxnSpPr>
      </xdr:nvCxnSpPr>
      <xdr:spPr>
        <a:xfrm>
          <a:off x="5219700" y="3819525"/>
          <a:ext cx="9525" cy="76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2562225</xdr:colOff>
      <xdr:row>26</xdr:row>
      <xdr:rowOff>171450</xdr:rowOff>
    </xdr:from>
    <xdr:to>
      <xdr:col>4</xdr:col>
      <xdr:colOff>2562225</xdr:colOff>
      <xdr:row>29</xdr:row>
      <xdr:rowOff>142875</xdr:rowOff>
    </xdr:to>
    <xdr:cxnSp macro="">
      <xdr:nvCxnSpPr>
        <xdr:cNvPr id="19490" name="Straight Arrow Connector 19489">
          <a:extLst>
            <a:ext uri="{FF2B5EF4-FFF2-40B4-BE49-F238E27FC236}">
              <a16:creationId xmlns:a16="http://schemas.microsoft.com/office/drawing/2014/main" id="{17139064-F774-46E3-9D96-B0F7C7A2B016}"/>
            </a:ext>
          </a:extLst>
        </xdr:cNvPr>
        <xdr:cNvCxnSpPr/>
      </xdr:nvCxnSpPr>
      <xdr:spPr>
        <a:xfrm>
          <a:off x="5229225" y="5362575"/>
          <a:ext cx="0"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204788</xdr:colOff>
      <xdr:row>39</xdr:row>
      <xdr:rowOff>28576</xdr:rowOff>
    </xdr:from>
    <xdr:to>
      <xdr:col>4</xdr:col>
      <xdr:colOff>333374</xdr:colOff>
      <xdr:row>48</xdr:row>
      <xdr:rowOff>57151</xdr:rowOff>
    </xdr:to>
    <xdr:cxnSp macro="">
      <xdr:nvCxnSpPr>
        <xdr:cNvPr id="19492" name="Connector: Elbow 19491">
          <a:extLst>
            <a:ext uri="{FF2B5EF4-FFF2-40B4-BE49-F238E27FC236}">
              <a16:creationId xmlns:a16="http://schemas.microsoft.com/office/drawing/2014/main" id="{604CB5B1-E373-488F-960F-81FDD4740F1A}"/>
            </a:ext>
          </a:extLst>
        </xdr:cNvPr>
        <xdr:cNvCxnSpPr>
          <a:stCxn id="19476" idx="1"/>
          <a:endCxn id="19471" idx="2"/>
        </xdr:cNvCxnSpPr>
      </xdr:nvCxnSpPr>
      <xdr:spPr>
        <a:xfrm rot="10800000">
          <a:off x="1423988" y="7753351"/>
          <a:ext cx="1576386" cy="174307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204788</xdr:colOff>
      <xdr:row>30</xdr:row>
      <xdr:rowOff>72629</xdr:rowOff>
    </xdr:from>
    <xdr:to>
      <xdr:col>4</xdr:col>
      <xdr:colOff>495300</xdr:colOff>
      <xdr:row>37</xdr:row>
      <xdr:rowOff>133350</xdr:rowOff>
    </xdr:to>
    <xdr:cxnSp macro="">
      <xdr:nvCxnSpPr>
        <xdr:cNvPr id="19494" name="Connector: Elbow 19493">
          <a:extLst>
            <a:ext uri="{FF2B5EF4-FFF2-40B4-BE49-F238E27FC236}">
              <a16:creationId xmlns:a16="http://schemas.microsoft.com/office/drawing/2014/main" id="{AF5A2691-398F-4A95-ABFF-090F69BA8091}"/>
            </a:ext>
          </a:extLst>
        </xdr:cNvPr>
        <xdr:cNvCxnSpPr>
          <a:stCxn id="19471" idx="0"/>
          <a:endCxn id="19474" idx="1"/>
        </xdr:cNvCxnSpPr>
      </xdr:nvCxnSpPr>
      <xdr:spPr>
        <a:xfrm rot="5400000" flipH="1" flipV="1">
          <a:off x="1069777" y="5934671"/>
          <a:ext cx="1429940" cy="173116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2566987</xdr:colOff>
      <xdr:row>52</xdr:row>
      <xdr:rowOff>142875</xdr:rowOff>
    </xdr:from>
    <xdr:to>
      <xdr:col>4</xdr:col>
      <xdr:colOff>2576512</xdr:colOff>
      <xdr:row>56</xdr:row>
      <xdr:rowOff>152401</xdr:rowOff>
    </xdr:to>
    <xdr:cxnSp macro="">
      <xdr:nvCxnSpPr>
        <xdr:cNvPr id="19552" name="Straight Arrow Connector 19551">
          <a:extLst>
            <a:ext uri="{FF2B5EF4-FFF2-40B4-BE49-F238E27FC236}">
              <a16:creationId xmlns:a16="http://schemas.microsoft.com/office/drawing/2014/main" id="{7211131A-65B1-4C8B-AAF9-15459BA23A44}"/>
            </a:ext>
          </a:extLst>
        </xdr:cNvPr>
        <xdr:cNvCxnSpPr>
          <a:stCxn id="19476" idx="2"/>
          <a:endCxn id="19477" idx="1"/>
        </xdr:cNvCxnSpPr>
      </xdr:nvCxnSpPr>
      <xdr:spPr>
        <a:xfrm>
          <a:off x="5233987" y="10344150"/>
          <a:ext cx="9525" cy="7715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66675</xdr:rowOff>
    </xdr:from>
    <xdr:to>
      <xdr:col>4</xdr:col>
      <xdr:colOff>76200</xdr:colOff>
      <xdr:row>33</xdr:row>
      <xdr:rowOff>85725</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257175"/>
          <a:ext cx="2238375" cy="6115050"/>
        </a:xfrm>
        <a:prstGeom prst="rect">
          <a:avLst/>
        </a:prstGeom>
      </xdr:spPr>
    </xdr:pic>
    <xdr:clientData/>
  </xdr:twoCellAnchor>
  <xdr:twoCellAnchor editAs="oneCell">
    <xdr:from>
      <xdr:col>4</xdr:col>
      <xdr:colOff>257175</xdr:colOff>
      <xdr:row>0</xdr:row>
      <xdr:rowOff>66675</xdr:rowOff>
    </xdr:from>
    <xdr:to>
      <xdr:col>11</xdr:col>
      <xdr:colOff>47625</xdr:colOff>
      <xdr:row>11</xdr:row>
      <xdr:rowOff>171450</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95575" y="66675"/>
          <a:ext cx="4057650" cy="2200275"/>
        </a:xfrm>
        <a:prstGeom prst="rect">
          <a:avLst/>
        </a:prstGeom>
      </xdr:spPr>
    </xdr:pic>
    <xdr:clientData/>
  </xdr:twoCellAnchor>
  <xdr:twoCellAnchor editAs="oneCell">
    <xdr:from>
      <xdr:col>11</xdr:col>
      <xdr:colOff>504825</xdr:colOff>
      <xdr:row>1</xdr:row>
      <xdr:rowOff>0</xdr:rowOff>
    </xdr:from>
    <xdr:to>
      <xdr:col>15</xdr:col>
      <xdr:colOff>352425</xdr:colOff>
      <xdr:row>9</xdr:row>
      <xdr:rowOff>66676</xdr:rowOff>
    </xdr:to>
    <xdr:pic>
      <xdr:nvPicPr>
        <xdr:cNvPr id="18" name="Picture 17">
          <a:extLst>
            <a:ext uri="{FF2B5EF4-FFF2-40B4-BE49-F238E27FC236}">
              <a16:creationId xmlns:a16="http://schemas.microsoft.com/office/drawing/2014/main" id="{00000000-0008-0000-0200-000012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2054" b="13393"/>
        <a:stretch/>
      </xdr:blipFill>
      <xdr:spPr>
        <a:xfrm>
          <a:off x="7210425" y="190500"/>
          <a:ext cx="2286000" cy="1590676"/>
        </a:xfrm>
        <a:prstGeom prst="rect">
          <a:avLst/>
        </a:prstGeom>
      </xdr:spPr>
    </xdr:pic>
    <xdr:clientData/>
  </xdr:twoCellAnchor>
  <xdr:twoCellAnchor editAs="oneCell">
    <xdr:from>
      <xdr:col>4</xdr:col>
      <xdr:colOff>238125</xdr:colOff>
      <xdr:row>12</xdr:row>
      <xdr:rowOff>104775</xdr:rowOff>
    </xdr:from>
    <xdr:to>
      <xdr:col>11</xdr:col>
      <xdr:colOff>161925</xdr:colOff>
      <xdr:row>25</xdr:row>
      <xdr:rowOff>66675</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76525" y="2390775"/>
          <a:ext cx="4191000" cy="2438400"/>
        </a:xfrm>
        <a:prstGeom prst="rect">
          <a:avLst/>
        </a:prstGeom>
      </xdr:spPr>
    </xdr:pic>
    <xdr:clientData/>
  </xdr:twoCellAnchor>
  <xdr:twoCellAnchor editAs="oneCell">
    <xdr:from>
      <xdr:col>12</xdr:col>
      <xdr:colOff>314326</xdr:colOff>
      <xdr:row>13</xdr:row>
      <xdr:rowOff>47625</xdr:rowOff>
    </xdr:from>
    <xdr:to>
      <xdr:col>15</xdr:col>
      <xdr:colOff>323850</xdr:colOff>
      <xdr:row>20</xdr:row>
      <xdr:rowOff>104775</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407" t="20955" r="-407" b="15809"/>
        <a:stretch/>
      </xdr:blipFill>
      <xdr:spPr>
        <a:xfrm>
          <a:off x="7629526" y="2524125"/>
          <a:ext cx="1838324" cy="1390650"/>
        </a:xfrm>
        <a:prstGeom prst="rect">
          <a:avLst/>
        </a:prstGeom>
      </xdr:spPr>
    </xdr:pic>
    <xdr:clientData/>
  </xdr:twoCellAnchor>
  <xdr:twoCellAnchor editAs="oneCell">
    <xdr:from>
      <xdr:col>0</xdr:col>
      <xdr:colOff>285750</xdr:colOff>
      <xdr:row>34</xdr:row>
      <xdr:rowOff>47625</xdr:rowOff>
    </xdr:from>
    <xdr:to>
      <xdr:col>5</xdr:col>
      <xdr:colOff>314325</xdr:colOff>
      <xdr:row>43</xdr:row>
      <xdr:rowOff>114300</xdr:rowOff>
    </xdr:to>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b="17257"/>
        <a:stretch/>
      </xdr:blipFill>
      <xdr:spPr>
        <a:xfrm>
          <a:off x="285750" y="6524625"/>
          <a:ext cx="3076575" cy="1781175"/>
        </a:xfrm>
        <a:prstGeom prst="rect">
          <a:avLst/>
        </a:prstGeom>
      </xdr:spPr>
    </xdr:pic>
    <xdr:clientData/>
  </xdr:twoCellAnchor>
  <xdr:twoCellAnchor editAs="oneCell">
    <xdr:from>
      <xdr:col>12</xdr:col>
      <xdr:colOff>47625</xdr:colOff>
      <xdr:row>26</xdr:row>
      <xdr:rowOff>142875</xdr:rowOff>
    </xdr:from>
    <xdr:to>
      <xdr:col>17</xdr:col>
      <xdr:colOff>314325</xdr:colOff>
      <xdr:row>42</xdr:row>
      <xdr:rowOff>114300</xdr:rowOff>
    </xdr:to>
    <xdr:pic>
      <xdr:nvPicPr>
        <xdr:cNvPr id="22" name="Picture 21">
          <a:extLst>
            <a:ext uri="{FF2B5EF4-FFF2-40B4-BE49-F238E27FC236}">
              <a16:creationId xmlns:a16="http://schemas.microsoft.com/office/drawing/2014/main" id="{00000000-0008-0000-0200-00001600000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7568" r="6487"/>
        <a:stretch/>
      </xdr:blipFill>
      <xdr:spPr>
        <a:xfrm>
          <a:off x="7362825" y="5095875"/>
          <a:ext cx="3314700" cy="3019425"/>
        </a:xfrm>
        <a:prstGeom prst="rect">
          <a:avLst/>
        </a:prstGeom>
      </xdr:spPr>
    </xdr:pic>
    <xdr:clientData/>
  </xdr:twoCellAnchor>
  <xdr:twoCellAnchor editAs="oneCell">
    <xdr:from>
      <xdr:col>0</xdr:col>
      <xdr:colOff>285750</xdr:colOff>
      <xdr:row>47</xdr:row>
      <xdr:rowOff>123824</xdr:rowOff>
    </xdr:from>
    <xdr:to>
      <xdr:col>7</xdr:col>
      <xdr:colOff>371475</xdr:colOff>
      <xdr:row>82</xdr:row>
      <xdr:rowOff>95249</xdr:rowOff>
    </xdr:to>
    <xdr:pic>
      <xdr:nvPicPr>
        <xdr:cNvPr id="23" name="Picture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85750" y="9077324"/>
          <a:ext cx="4352925" cy="6638925"/>
        </a:xfrm>
        <a:prstGeom prst="rect">
          <a:avLst/>
        </a:prstGeom>
      </xdr:spPr>
    </xdr:pic>
    <xdr:clientData/>
  </xdr:twoCellAnchor>
  <xdr:twoCellAnchor editAs="oneCell">
    <xdr:from>
      <xdr:col>8</xdr:col>
      <xdr:colOff>9526</xdr:colOff>
      <xdr:row>47</xdr:row>
      <xdr:rowOff>180975</xdr:rowOff>
    </xdr:from>
    <xdr:to>
      <xdr:col>17</xdr:col>
      <xdr:colOff>171450</xdr:colOff>
      <xdr:row>68</xdr:row>
      <xdr:rowOff>57150</xdr:rowOff>
    </xdr:to>
    <xdr:pic>
      <xdr:nvPicPr>
        <xdr:cNvPr id="24" name="Pictur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886326" y="9134475"/>
          <a:ext cx="5648324" cy="3876675"/>
        </a:xfrm>
        <a:prstGeom prst="rect">
          <a:avLst/>
        </a:prstGeom>
      </xdr:spPr>
    </xdr:pic>
    <xdr:clientData/>
  </xdr:twoCellAnchor>
  <xdr:twoCellAnchor editAs="oneCell">
    <xdr:from>
      <xdr:col>6</xdr:col>
      <xdr:colOff>333375</xdr:colOff>
      <xdr:row>27</xdr:row>
      <xdr:rowOff>104775</xdr:rowOff>
    </xdr:from>
    <xdr:to>
      <xdr:col>11</xdr:col>
      <xdr:colOff>28575</xdr:colOff>
      <xdr:row>43</xdr:row>
      <xdr:rowOff>9525</xdr:rowOff>
    </xdr:to>
    <xdr:pic>
      <xdr:nvPicPr>
        <xdr:cNvPr id="25" name="Picture 24">
          <a:extLst>
            <a:ext uri="{FF2B5EF4-FFF2-40B4-BE49-F238E27FC236}">
              <a16:creationId xmlns:a16="http://schemas.microsoft.com/office/drawing/2014/main" id="{00000000-0008-0000-0200-000019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t="5459" b="11363"/>
        <a:stretch/>
      </xdr:blipFill>
      <xdr:spPr>
        <a:xfrm>
          <a:off x="3990975" y="5248275"/>
          <a:ext cx="2743200" cy="2952750"/>
        </a:xfrm>
        <a:prstGeom prst="rect">
          <a:avLst/>
        </a:prstGeom>
      </xdr:spPr>
    </xdr:pic>
    <xdr:clientData/>
  </xdr:twoCellAnchor>
  <xdr:twoCellAnchor editAs="oneCell">
    <xdr:from>
      <xdr:col>7</xdr:col>
      <xdr:colOff>323850</xdr:colOff>
      <xdr:row>71</xdr:row>
      <xdr:rowOff>28575</xdr:rowOff>
    </xdr:from>
    <xdr:to>
      <xdr:col>14</xdr:col>
      <xdr:colOff>171450</xdr:colOff>
      <xdr:row>89</xdr:row>
      <xdr:rowOff>156591</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91050" y="13554075"/>
          <a:ext cx="4114800" cy="3557016"/>
        </a:xfrm>
        <a:prstGeom prst="rect">
          <a:avLst/>
        </a:prstGeom>
      </xdr:spPr>
    </xdr:pic>
    <xdr:clientData/>
  </xdr:twoCellAnchor>
  <xdr:twoCellAnchor editAs="oneCell">
    <xdr:from>
      <xdr:col>14</xdr:col>
      <xdr:colOff>571500</xdr:colOff>
      <xdr:row>69</xdr:row>
      <xdr:rowOff>95250</xdr:rowOff>
    </xdr:from>
    <xdr:to>
      <xdr:col>17</xdr:col>
      <xdr:colOff>495300</xdr:colOff>
      <xdr:row>92</xdr:row>
      <xdr:rowOff>76200</xdr:rowOff>
    </xdr:to>
    <xdr:pic>
      <xdr:nvPicPr>
        <xdr:cNvPr id="28" name="Picture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9105900" y="13239750"/>
          <a:ext cx="1752600" cy="436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5"/>
  <sheetViews>
    <sheetView topLeftCell="A10" zoomScaleNormal="100" workbookViewId="0">
      <selection activeCell="D10" sqref="D10"/>
    </sheetView>
  </sheetViews>
  <sheetFormatPr defaultRowHeight="15" x14ac:dyDescent="0.25"/>
  <cols>
    <col min="1" max="3" width="9.140625" style="33"/>
    <col min="4" max="4" width="92" customWidth="1"/>
    <col min="5" max="5" width="9.5703125" bestFit="1" customWidth="1"/>
    <col min="9" max="13" width="9.140625" style="33"/>
  </cols>
  <sheetData>
    <row r="1" spans="4:8" s="33" customFormat="1" x14ac:dyDescent="0.25"/>
    <row r="2" spans="4:8" s="33" customFormat="1" x14ac:dyDescent="0.25"/>
    <row r="3" spans="4:8" s="33" customFormat="1" ht="18.75" x14ac:dyDescent="0.3">
      <c r="D3" s="38" t="s">
        <v>208</v>
      </c>
    </row>
    <row r="4" spans="4:8" s="33" customFormat="1" x14ac:dyDescent="0.25"/>
    <row r="5" spans="4:8" x14ac:dyDescent="0.25">
      <c r="D5" s="32" t="s">
        <v>211</v>
      </c>
      <c r="E5" s="33"/>
      <c r="F5" s="33"/>
      <c r="G5" s="33"/>
      <c r="H5" s="33"/>
    </row>
    <row r="6" spans="4:8" ht="29.25" customHeight="1" x14ac:dyDescent="0.25">
      <c r="D6" s="47" t="s">
        <v>185</v>
      </c>
      <c r="E6" s="33"/>
      <c r="F6" s="33"/>
      <c r="G6" s="33"/>
      <c r="H6" s="33"/>
    </row>
    <row r="7" spans="4:8" ht="26.25" customHeight="1" x14ac:dyDescent="0.25">
      <c r="D7" s="32" t="s">
        <v>199</v>
      </c>
      <c r="E7" s="33"/>
      <c r="F7" s="33"/>
      <c r="G7" s="33"/>
      <c r="H7" s="33"/>
    </row>
    <row r="8" spans="4:8" ht="15.75" x14ac:dyDescent="0.25">
      <c r="D8" s="48" t="str">
        <f>IF(D6="Case where the ground is a dual nature medium","ρ      The lower resistivity (concrete) in (Ω-m)","ρₒ      the resistivity of surrounding medium (Ω-m)")</f>
        <v>ρₒ      the resistivity of surrounding medium (Ω-m)</v>
      </c>
      <c r="E8" s="49">
        <v>300</v>
      </c>
      <c r="F8" s="33"/>
      <c r="G8" s="33"/>
      <c r="H8" s="33"/>
    </row>
    <row r="9" spans="4:8" ht="15.75" x14ac:dyDescent="0.25">
      <c r="D9" s="48" t="s">
        <v>212</v>
      </c>
      <c r="E9" s="49">
        <v>2</v>
      </c>
      <c r="F9" s="33"/>
      <c r="G9" s="33"/>
      <c r="H9" s="33"/>
    </row>
    <row r="10" spans="4:8" ht="15.75" x14ac:dyDescent="0.25">
      <c r="D10" s="48"/>
      <c r="E10" s="49">
        <v>0.02</v>
      </c>
      <c r="F10" s="33"/>
      <c r="G10" s="33"/>
      <c r="H10" s="33"/>
    </row>
    <row r="11" spans="4:8" ht="15.75" x14ac:dyDescent="0.25">
      <c r="D11" s="48" t="str">
        <f>IF(D6="Basic formula for Concrete-encased Rod Electrode","","r1      the outer radius of rod (m)")</f>
        <v>r1      the outer radius of rod (m)</v>
      </c>
      <c r="E11" s="49">
        <v>0.03</v>
      </c>
      <c r="F11" s="33"/>
      <c r="G11" s="33"/>
      <c r="H11" s="33"/>
    </row>
    <row r="12" spans="4:8" ht="15.75" x14ac:dyDescent="0.25">
      <c r="D12" s="48" t="str">
        <f>IF(D6="Basic formula for Concrete-encased Rod Electrode","","ρ1      the higher resistivity of (earth) in (Ω-m)")</f>
        <v>ρ1      the higher resistivity of (earth) in (Ω-m)</v>
      </c>
      <c r="E12" s="49">
        <v>200</v>
      </c>
      <c r="F12" s="33"/>
      <c r="G12" s="33"/>
      <c r="H12" s="33"/>
    </row>
    <row r="13" spans="4:8" ht="15.75" x14ac:dyDescent="0.25">
      <c r="D13" s="48" t="str">
        <f>IF(D6="Multiple concrete-encased rebar grounding electrodes in Hollow rectangular configuration","r      the radius of equivalent hemisphere","")</f>
        <v>r      the radius of equivalent hemisphere</v>
      </c>
      <c r="E13" s="49">
        <v>2.5</v>
      </c>
      <c r="F13" s="33"/>
      <c r="G13" s="33"/>
      <c r="H13" s="33"/>
    </row>
    <row r="14" spans="4:8" ht="15.75" x14ac:dyDescent="0.25">
      <c r="D14" s="48" t="str">
        <f>IF(D6="Multiple concrete-encased rebar grounding electrodes in Hollow rectangular configuration","d      the spacing of electrodes","")</f>
        <v>d      the spacing of electrodes</v>
      </c>
      <c r="E14" s="49">
        <v>4</v>
      </c>
      <c r="F14" s="33"/>
      <c r="G14" s="33"/>
      <c r="H14" s="33"/>
    </row>
    <row r="15" spans="4:8" ht="15.75" x14ac:dyDescent="0.25">
      <c r="D15" s="48" t="str">
        <f>IF(D6="Multiple concrete-encased rebar grounding electrodes in Hollow rectangular configuration","N      the total number of rods","")</f>
        <v>N      the total number of rods</v>
      </c>
      <c r="E15" s="49">
        <v>11</v>
      </c>
      <c r="F15" s="33"/>
      <c r="G15" s="33"/>
      <c r="H15" s="33"/>
    </row>
    <row r="16" spans="4:8" ht="15.75" x14ac:dyDescent="0.25">
      <c r="D16" s="48" t="str">
        <f>IF(D6="Multiple concrete-encased rebar grounding electrodes in Hollow rectangular configuration","k       given in graph","")</f>
        <v>k       given in graph</v>
      </c>
      <c r="E16" s="49">
        <v>6</v>
      </c>
      <c r="F16" s="33"/>
      <c r="G16" s="33"/>
      <c r="H16" s="33"/>
    </row>
    <row r="17" spans="4:9" ht="15.75" x14ac:dyDescent="0.25">
      <c r="D17" s="48" t="str">
        <f>IF(D6="Multiple concrete-encased rebar grounding electrodes in Hollow rectangular configuration","M      multiplier to obtain array resistance from single electrode reistance","")</f>
        <v>M      multiplier to obtain array resistance from single electrode reistance</v>
      </c>
      <c r="E17" s="50">
        <f>(1+(E13*E16/E14))/E15</f>
        <v>0.43181818181818182</v>
      </c>
      <c r="F17" s="33"/>
      <c r="G17" s="33"/>
      <c r="H17" s="33"/>
    </row>
    <row r="18" spans="4:9" x14ac:dyDescent="0.25">
      <c r="F18" s="33"/>
      <c r="G18" s="33"/>
      <c r="H18" s="33"/>
    </row>
    <row r="19" spans="4:9" ht="15.75" x14ac:dyDescent="0.25">
      <c r="D19" s="53" t="s">
        <v>213</v>
      </c>
      <c r="E19" s="54">
        <f>IF(D6="Case where the ground is a dual nature medium",((LN(E11)-LN(E10))*(E8/(2*PI()*E9)))+(((E12/(2*PI()*E9)))*((LN(4*E9))-1-LN(E11))),IF(D6="Basic formula for Concrete-encased Rod Electrode",(LN(4*E9/E10)-1)*(E8/(2*PI()*E9)),IF(D6="Multiple concrete-encased rebar grounding electrodes in Hollow rectangular configuration",E17*((LN(E11)-LN(E10))*(E8/(2*PI()*E9)))+(((E12/(2*PI()*E9)))*((LN(4*E9))-1-LN(E11))))))</f>
        <v>77.168347114009507</v>
      </c>
      <c r="F19" s="33"/>
      <c r="G19" s="33"/>
      <c r="H19" s="33"/>
    </row>
    <row r="20" spans="4:9" x14ac:dyDescent="0.25">
      <c r="D20" s="33"/>
      <c r="E20" s="33"/>
      <c r="F20" s="33"/>
      <c r="G20" s="33"/>
      <c r="H20" s="33"/>
    </row>
    <row r="21" spans="4:9" x14ac:dyDescent="0.25">
      <c r="D21" s="33"/>
      <c r="E21" s="33"/>
      <c r="F21" s="33"/>
      <c r="G21" s="33"/>
      <c r="H21" s="33"/>
    </row>
    <row r="22" spans="4:9" ht="18.75" x14ac:dyDescent="0.3">
      <c r="D22" s="56" t="s">
        <v>218</v>
      </c>
      <c r="E22" s="33"/>
      <c r="F22" s="33"/>
      <c r="G22" s="33"/>
      <c r="H22" s="33"/>
    </row>
    <row r="23" spans="4:9" x14ac:dyDescent="0.25">
      <c r="E23" s="52"/>
      <c r="F23" s="52"/>
      <c r="G23" s="52"/>
      <c r="H23" s="52"/>
      <c r="I23" s="52"/>
    </row>
    <row r="24" spans="4:9" ht="21" customHeight="1" x14ac:dyDescent="0.25">
      <c r="D24" s="57" t="s">
        <v>216</v>
      </c>
      <c r="E24" s="52"/>
      <c r="F24" s="52"/>
      <c r="G24" s="52"/>
      <c r="H24" s="52"/>
      <c r="I24" s="52"/>
    </row>
    <row r="25" spans="4:9" x14ac:dyDescent="0.25">
      <c r="F25" s="33"/>
      <c r="G25" s="33"/>
      <c r="H25" s="33"/>
    </row>
    <row r="26" spans="4:9" ht="15.75" x14ac:dyDescent="0.25">
      <c r="D26" s="48" t="s">
        <v>217</v>
      </c>
      <c r="E26" s="49">
        <v>300</v>
      </c>
      <c r="F26" s="33"/>
      <c r="G26" s="33"/>
      <c r="H26" s="33"/>
    </row>
    <row r="27" spans="4:9" ht="15.75" x14ac:dyDescent="0.25">
      <c r="D27" s="48" t="s">
        <v>309</v>
      </c>
      <c r="E27" s="49">
        <v>0.4</v>
      </c>
      <c r="F27" s="33"/>
      <c r="G27" s="33"/>
      <c r="H27" s="33"/>
    </row>
    <row r="28" spans="4:9" ht="15.75" x14ac:dyDescent="0.25">
      <c r="D28" s="48" t="s">
        <v>219</v>
      </c>
      <c r="E28" s="49">
        <v>4</v>
      </c>
      <c r="F28" s="33"/>
      <c r="G28" s="33"/>
      <c r="H28" s="33"/>
    </row>
    <row r="29" spans="4:9" ht="15.75" x14ac:dyDescent="0.25">
      <c r="D29" s="48" t="str">
        <f>IF(D24="Sunde's equation for electrode","r     the outer radius of the ring in (m)","re     equivalent radius in (m)")</f>
        <v>re     equivalent radius in (m)</v>
      </c>
      <c r="E29" s="49">
        <v>0.1</v>
      </c>
      <c r="F29" s="33"/>
      <c r="G29" s="33"/>
      <c r="H29" s="33"/>
    </row>
    <row r="30" spans="4:9" ht="15.75" x14ac:dyDescent="0.25">
      <c r="D30" s="48" t="str">
        <f>IF(D24="Propose novel equivalent equation by author","α     improvement constant (fixed value)","")</f>
        <v>α     improvement constant (fixed value)</v>
      </c>
      <c r="E30" s="49">
        <v>1.85</v>
      </c>
      <c r="F30" s="33"/>
      <c r="G30" s="33"/>
      <c r="H30" s="33"/>
    </row>
    <row r="31" spans="4:9" ht="15.75" x14ac:dyDescent="0.25">
      <c r="D31" s="48" t="str">
        <f>IF(D24="Propose novel equivalent equation by author","β     improvement constant (fixed value)","")</f>
        <v>β     improvement constant (fixed value)</v>
      </c>
      <c r="E31" s="49">
        <v>3.82</v>
      </c>
      <c r="F31" s="33"/>
      <c r="G31" s="33"/>
      <c r="H31" s="33"/>
    </row>
    <row r="32" spans="4:9" x14ac:dyDescent="0.25">
      <c r="F32" s="33"/>
      <c r="G32" s="33"/>
      <c r="H32" s="33"/>
    </row>
    <row r="33" spans="4:9" ht="15.75" x14ac:dyDescent="0.25">
      <c r="D33" s="55" t="s">
        <v>220</v>
      </c>
      <c r="E33" s="55">
        <f>IF(D24="Sunde's equation for electrode",LN(8*E29/((2*E27*E28)^0.5))*(E26/(2*PI()*PI()*E29)),LN(E31*8*E29/((2*E27*E28)^0.5))*(E26/(E30*2*PI()*PI()*E29)))</f>
        <v>43.995147610954135</v>
      </c>
      <c r="F33" s="33"/>
      <c r="G33" s="33"/>
      <c r="H33" s="33"/>
    </row>
    <row r="34" spans="4:9" x14ac:dyDescent="0.25">
      <c r="D34" s="52"/>
      <c r="E34" s="52"/>
      <c r="F34" s="52"/>
      <c r="G34" s="52"/>
      <c r="H34" s="52"/>
      <c r="I34" s="52"/>
    </row>
    <row r="35" spans="4:9" x14ac:dyDescent="0.25">
      <c r="D35" s="52"/>
      <c r="E35" s="52"/>
      <c r="F35" s="52"/>
      <c r="G35" s="52"/>
      <c r="H35" s="52"/>
      <c r="I35" s="52"/>
    </row>
    <row r="36" spans="4:9" x14ac:dyDescent="0.25">
      <c r="D36" s="33"/>
      <c r="E36" s="33"/>
      <c r="F36" s="33"/>
      <c r="G36" s="33"/>
      <c r="H36" s="33"/>
    </row>
    <row r="37" spans="4:9" ht="18.75" x14ac:dyDescent="0.3">
      <c r="D37" s="45" t="s">
        <v>190</v>
      </c>
      <c r="E37" s="33"/>
      <c r="F37" s="33"/>
      <c r="G37" s="33"/>
      <c r="H37" s="33"/>
    </row>
    <row r="38" spans="4:9" x14ac:dyDescent="0.25">
      <c r="D38" s="58" t="s">
        <v>226</v>
      </c>
      <c r="E38" s="33"/>
      <c r="F38" s="33"/>
      <c r="G38" s="33"/>
      <c r="H38" s="33"/>
    </row>
    <row r="39" spans="4:9" x14ac:dyDescent="0.25">
      <c r="D39" s="33"/>
      <c r="E39" s="33"/>
      <c r="F39" s="33"/>
      <c r="G39" s="33"/>
      <c r="H39" s="33"/>
    </row>
    <row r="40" spans="4:9" ht="15.75" x14ac:dyDescent="0.25">
      <c r="D40" s="59" t="s">
        <v>223</v>
      </c>
      <c r="E40" s="49">
        <v>300</v>
      </c>
      <c r="F40" s="33"/>
      <c r="G40" s="33"/>
      <c r="H40" s="33"/>
    </row>
    <row r="41" spans="4:9" ht="15.75" x14ac:dyDescent="0.25">
      <c r="D41" s="59" t="s">
        <v>222</v>
      </c>
      <c r="E41" s="49">
        <v>4</v>
      </c>
      <c r="F41" s="33"/>
      <c r="G41" s="33"/>
      <c r="H41" s="33"/>
    </row>
    <row r="42" spans="4:9" ht="15.75" x14ac:dyDescent="0.25">
      <c r="D42" s="59" t="s">
        <v>225</v>
      </c>
      <c r="E42" s="49">
        <v>5</v>
      </c>
      <c r="F42" s="33"/>
      <c r="G42" s="33"/>
      <c r="H42" s="33"/>
    </row>
    <row r="43" spans="4:9" ht="15.75" x14ac:dyDescent="0.25">
      <c r="D43" s="59" t="s">
        <v>221</v>
      </c>
      <c r="E43" s="49">
        <v>0.4</v>
      </c>
      <c r="F43" s="33"/>
      <c r="G43" s="33"/>
      <c r="H43" s="33"/>
    </row>
    <row r="44" spans="4:9" x14ac:dyDescent="0.25">
      <c r="D44" s="52"/>
      <c r="E44" s="52"/>
      <c r="F44" s="33"/>
      <c r="G44" s="33"/>
      <c r="H44" s="33"/>
    </row>
    <row r="45" spans="4:9" ht="15.75" x14ac:dyDescent="0.25">
      <c r="D45" s="55" t="s">
        <v>224</v>
      </c>
      <c r="E45" s="55">
        <f>((1/E42)+(1/((20*E43)^0.5))+(1+(1/(1+(E41*(20/E43)^0.5)))))*E40</f>
        <v>476.31042440481389</v>
      </c>
      <c r="F45" s="33"/>
      <c r="G45" s="33"/>
      <c r="H45" s="33"/>
    </row>
    <row r="46" spans="4:9" x14ac:dyDescent="0.25">
      <c r="D46" s="33"/>
      <c r="E46" s="33"/>
      <c r="F46" s="33"/>
      <c r="G46" s="33"/>
      <c r="H46" s="33"/>
    </row>
    <row r="47" spans="4:9" x14ac:dyDescent="0.25">
      <c r="D47" s="33"/>
      <c r="E47" s="33"/>
      <c r="F47" s="33"/>
      <c r="G47" s="33"/>
      <c r="H47" s="33"/>
    </row>
    <row r="48" spans="4:9" x14ac:dyDescent="0.25">
      <c r="D48" s="33"/>
      <c r="E48" s="33"/>
      <c r="F48" s="33"/>
      <c r="G48" s="33"/>
      <c r="H48" s="33"/>
    </row>
    <row r="49" spans="4:8" x14ac:dyDescent="0.25">
      <c r="D49" s="33"/>
      <c r="E49" s="33"/>
      <c r="F49" s="33"/>
      <c r="G49" s="33"/>
      <c r="H49" s="33"/>
    </row>
    <row r="50" spans="4:8" x14ac:dyDescent="0.25">
      <c r="D50" s="33"/>
      <c r="E50" s="33"/>
      <c r="F50" s="33"/>
      <c r="G50" s="33"/>
      <c r="H50" s="33"/>
    </row>
    <row r="51" spans="4:8" ht="18.75" x14ac:dyDescent="0.3">
      <c r="D51" s="45" t="s">
        <v>192</v>
      </c>
      <c r="E51" s="33"/>
      <c r="F51" s="33"/>
      <c r="G51" s="33"/>
      <c r="H51" s="33"/>
    </row>
    <row r="52" spans="4:8" x14ac:dyDescent="0.25">
      <c r="D52" s="58" t="s">
        <v>229</v>
      </c>
      <c r="E52" s="33"/>
      <c r="F52" s="33"/>
      <c r="G52" s="33"/>
      <c r="H52" s="33"/>
    </row>
    <row r="53" spans="4:8" x14ac:dyDescent="0.25">
      <c r="D53" s="33"/>
      <c r="E53" s="33"/>
      <c r="F53" s="33"/>
      <c r="G53" s="33"/>
      <c r="H53" s="33"/>
    </row>
    <row r="54" spans="4:8" ht="15.75" x14ac:dyDescent="0.25">
      <c r="D54" s="48" t="s">
        <v>230</v>
      </c>
      <c r="E54" s="49">
        <v>42.3</v>
      </c>
      <c r="F54" s="33"/>
      <c r="G54" s="33"/>
      <c r="H54" s="33"/>
    </row>
    <row r="55" spans="4:8" ht="15.75" x14ac:dyDescent="0.25">
      <c r="D55" s="48" t="s">
        <v>231</v>
      </c>
      <c r="E55" s="49">
        <v>2.5000000000000001E-2</v>
      </c>
      <c r="F55" s="33"/>
      <c r="G55" s="33"/>
      <c r="H55" s="33"/>
    </row>
    <row r="56" spans="4:8" ht="15.75" x14ac:dyDescent="0.25">
      <c r="D56" s="48" t="s">
        <v>232</v>
      </c>
      <c r="E56" s="49">
        <v>1</v>
      </c>
      <c r="F56" s="33"/>
      <c r="G56" s="33"/>
      <c r="H56" s="33"/>
    </row>
    <row r="57" spans="4:8" x14ac:dyDescent="0.25">
      <c r="F57" s="60"/>
      <c r="G57" s="33"/>
      <c r="H57" s="33"/>
    </row>
    <row r="58" spans="4:8" ht="15.75" x14ac:dyDescent="0.25">
      <c r="D58" s="53" t="s">
        <v>227</v>
      </c>
      <c r="E58" s="53">
        <f>LN((1/E55)+1)*(E54/(2*PI()*E56))</f>
        <v>25.000710744930196</v>
      </c>
      <c r="F58" s="33"/>
      <c r="G58" s="33"/>
      <c r="H58" s="33"/>
    </row>
    <row r="59" spans="4:8" x14ac:dyDescent="0.25">
      <c r="D59" s="33"/>
      <c r="E59" s="33"/>
      <c r="F59" s="33"/>
      <c r="G59" s="33"/>
      <c r="H59" s="33"/>
    </row>
    <row r="60" spans="4:8" x14ac:dyDescent="0.25">
      <c r="D60" s="33"/>
      <c r="E60" s="33"/>
      <c r="F60" s="33"/>
      <c r="G60" s="33"/>
      <c r="H60" s="33"/>
    </row>
    <row r="61" spans="4:8" x14ac:dyDescent="0.25">
      <c r="D61" s="33"/>
      <c r="E61" s="33"/>
      <c r="F61" s="33"/>
      <c r="G61" s="33"/>
      <c r="H61" s="33"/>
    </row>
    <row r="62" spans="4:8" x14ac:dyDescent="0.25">
      <c r="D62" s="33"/>
      <c r="E62" s="33"/>
      <c r="F62" s="33"/>
      <c r="G62" s="33"/>
      <c r="H62" s="33"/>
    </row>
    <row r="63" spans="4:8" x14ac:dyDescent="0.25">
      <c r="D63" s="33"/>
      <c r="E63" s="33"/>
      <c r="F63" s="33"/>
      <c r="G63" s="33"/>
      <c r="H63" s="33"/>
    </row>
    <row r="64" spans="4:8" ht="18.75" x14ac:dyDescent="0.3">
      <c r="D64" s="38" t="s">
        <v>271</v>
      </c>
      <c r="E64" s="33"/>
      <c r="F64" s="33"/>
      <c r="G64" s="33"/>
      <c r="H64" s="33"/>
    </row>
    <row r="65" spans="4:8" x14ac:dyDescent="0.25">
      <c r="D65" s="1" t="s">
        <v>201</v>
      </c>
      <c r="E65" s="33"/>
      <c r="F65" s="33"/>
      <c r="G65" s="33"/>
      <c r="H65" s="33"/>
    </row>
    <row r="66" spans="4:8" x14ac:dyDescent="0.25">
      <c r="D66" s="33"/>
      <c r="E66" s="33"/>
      <c r="F66" s="33"/>
      <c r="G66" s="33"/>
      <c r="H66" s="33"/>
    </row>
    <row r="67" spans="4:8" s="33" customFormat="1" x14ac:dyDescent="0.25"/>
    <row r="68" spans="4:8" x14ac:dyDescent="0.25">
      <c r="F68" s="33"/>
      <c r="G68" s="33"/>
      <c r="H68" s="33"/>
    </row>
    <row r="69" spans="4:8" ht="15.75" x14ac:dyDescent="0.25">
      <c r="D69" s="48" t="s">
        <v>272</v>
      </c>
      <c r="E69" s="63">
        <v>200</v>
      </c>
      <c r="F69" s="33"/>
      <c r="G69" s="33"/>
      <c r="H69" s="33"/>
    </row>
    <row r="70" spans="4:8" ht="15.75" x14ac:dyDescent="0.25">
      <c r="D70" s="48" t="s">
        <v>274</v>
      </c>
      <c r="E70" s="63">
        <v>0.02</v>
      </c>
      <c r="F70" s="33"/>
      <c r="G70" s="33"/>
      <c r="H70" s="33"/>
    </row>
    <row r="71" spans="4:8" ht="15.75" x14ac:dyDescent="0.25">
      <c r="D71" s="48" t="s">
        <v>275</v>
      </c>
      <c r="E71" s="63">
        <v>6</v>
      </c>
      <c r="F71" s="33"/>
      <c r="G71" s="33"/>
      <c r="H71" s="33"/>
    </row>
    <row r="72" spans="4:8" ht="15.75" x14ac:dyDescent="0.25">
      <c r="D72" s="48" t="s">
        <v>276</v>
      </c>
      <c r="E72" s="63">
        <v>2</v>
      </c>
      <c r="F72" s="33"/>
      <c r="G72" s="33"/>
      <c r="H72" s="33"/>
    </row>
    <row r="73" spans="4:8" ht="15.75" x14ac:dyDescent="0.25">
      <c r="D73" s="48" t="s">
        <v>277</v>
      </c>
      <c r="E73" s="63">
        <f>E71*E72</f>
        <v>12</v>
      </c>
      <c r="F73" s="33"/>
      <c r="G73" s="33"/>
      <c r="H73" s="33"/>
    </row>
    <row r="74" spans="4:8" x14ac:dyDescent="0.25">
      <c r="F74" s="33"/>
      <c r="G74" s="33"/>
      <c r="H74" s="33"/>
    </row>
    <row r="75" spans="4:8" x14ac:dyDescent="0.25">
      <c r="D75" s="51" t="s">
        <v>273</v>
      </c>
      <c r="E75" s="51">
        <f>(LN(4*E73/E70)-1)*(E69/(4*PI()*E73))</f>
        <v>8.9965302691628306</v>
      </c>
      <c r="F75" s="33"/>
      <c r="G75" s="33"/>
      <c r="H75" s="33"/>
    </row>
    <row r="76" spans="4:8" s="33" customFormat="1" x14ac:dyDescent="0.25"/>
    <row r="77" spans="4:8" x14ac:dyDescent="0.25">
      <c r="F77" s="33"/>
      <c r="G77" s="33"/>
      <c r="H77" s="33"/>
    </row>
    <row r="78" spans="4:8" x14ac:dyDescent="0.25">
      <c r="D78" s="33"/>
      <c r="E78" s="33"/>
      <c r="F78" s="33"/>
      <c r="G78" s="33"/>
      <c r="H78" s="33"/>
    </row>
    <row r="79" spans="4:8" ht="18.75" x14ac:dyDescent="0.3">
      <c r="D79" s="45" t="s">
        <v>203</v>
      </c>
      <c r="E79" s="33"/>
      <c r="F79" s="33"/>
      <c r="G79" s="33"/>
      <c r="H79" s="33"/>
    </row>
    <row r="80" spans="4:8" x14ac:dyDescent="0.25">
      <c r="D80" s="33"/>
      <c r="E80" s="33"/>
      <c r="F80" s="33"/>
      <c r="G80" s="33"/>
      <c r="H80" s="33"/>
    </row>
    <row r="81" spans="4:8" x14ac:dyDescent="0.25">
      <c r="D81" s="67" t="s">
        <v>298</v>
      </c>
      <c r="E81" s="33"/>
      <c r="F81" s="33"/>
      <c r="G81" s="33"/>
      <c r="H81" s="33"/>
    </row>
    <row r="82" spans="4:8" x14ac:dyDescent="0.25">
      <c r="E82" s="33"/>
      <c r="F82" s="33"/>
      <c r="G82" s="33"/>
      <c r="H82" s="33"/>
    </row>
    <row r="83" spans="4:8" ht="15.75" x14ac:dyDescent="0.25">
      <c r="D83" s="59" t="s">
        <v>300</v>
      </c>
      <c r="E83" s="63">
        <v>2000</v>
      </c>
      <c r="F83" s="33"/>
      <c r="G83" s="33"/>
      <c r="H83" s="33"/>
    </row>
    <row r="84" spans="4:8" ht="15.75" x14ac:dyDescent="0.25">
      <c r="D84" s="59" t="s">
        <v>299</v>
      </c>
      <c r="E84" s="63">
        <v>80</v>
      </c>
      <c r="F84" s="33"/>
      <c r="G84" s="33"/>
      <c r="H84" s="33"/>
    </row>
    <row r="85" spans="4:8" ht="15.75" x14ac:dyDescent="0.25">
      <c r="D85" s="59" t="s">
        <v>301</v>
      </c>
      <c r="E85" s="63">
        <v>60</v>
      </c>
      <c r="F85" s="33"/>
      <c r="G85" s="33"/>
      <c r="H85" s="33"/>
    </row>
    <row r="86" spans="4:8" ht="15.75" x14ac:dyDescent="0.25">
      <c r="D86" s="59" t="s">
        <v>302</v>
      </c>
      <c r="E86" s="63">
        <v>0.5</v>
      </c>
      <c r="F86" s="33"/>
      <c r="G86" s="33"/>
      <c r="H86" s="33"/>
    </row>
    <row r="87" spans="4:8" x14ac:dyDescent="0.25">
      <c r="D87" s="33"/>
      <c r="E87" s="33"/>
      <c r="F87" s="33"/>
      <c r="G87" s="33"/>
      <c r="H87" s="33"/>
    </row>
    <row r="88" spans="4:8" ht="15.75" x14ac:dyDescent="0.25">
      <c r="D88" s="53" t="s">
        <v>273</v>
      </c>
      <c r="E88" s="53">
        <f>IF(D81="Buried straight rod or wire",(0.366*E83/E85)*(LN(E85/E86)+LN(E85/(4*E84))+0.34),IF(D81="Buried circle of wire",(0.366*E83/E85)*(LN(E85/E86)+LN(E85/(4*E84))+0.81),IF(D81="Vertical rod",(0.366*E83/E85)*LN(3*E85/E86))))</f>
        <v>71.810469183691893</v>
      </c>
      <c r="F88" s="33"/>
      <c r="G88" s="33"/>
      <c r="H88" s="33"/>
    </row>
    <row r="89" spans="4:8" x14ac:dyDescent="0.25">
      <c r="D89" s="33"/>
      <c r="E89" s="33"/>
      <c r="F89" s="33"/>
      <c r="G89" s="33"/>
      <c r="H89" s="33"/>
    </row>
    <row r="90" spans="4:8" x14ac:dyDescent="0.25">
      <c r="D90" s="1" t="s">
        <v>307</v>
      </c>
      <c r="F90" s="33"/>
      <c r="G90" s="33"/>
      <c r="H90" s="33"/>
    </row>
    <row r="91" spans="4:8" x14ac:dyDescent="0.25">
      <c r="F91" s="33"/>
      <c r="G91" s="33"/>
      <c r="H91" s="33"/>
    </row>
    <row r="92" spans="4:8" ht="15.75" x14ac:dyDescent="0.25">
      <c r="D92" s="69" t="s">
        <v>303</v>
      </c>
      <c r="E92" s="63">
        <v>3000</v>
      </c>
      <c r="F92" s="33"/>
      <c r="G92" s="33"/>
      <c r="H92" s="33"/>
    </row>
    <row r="93" spans="4:8" ht="15.75" x14ac:dyDescent="0.25">
      <c r="D93" s="69" t="s">
        <v>305</v>
      </c>
      <c r="E93" s="63">
        <v>2000</v>
      </c>
      <c r="F93" s="33"/>
      <c r="G93" s="33"/>
      <c r="H93" s="33"/>
    </row>
    <row r="94" spans="4:8" ht="15.75" x14ac:dyDescent="0.25">
      <c r="D94" s="69" t="s">
        <v>299</v>
      </c>
      <c r="E94" s="63">
        <v>80</v>
      </c>
      <c r="F94" s="33"/>
      <c r="G94" s="33"/>
      <c r="H94" s="33"/>
    </row>
    <row r="95" spans="4:8" ht="15.75" x14ac:dyDescent="0.25">
      <c r="D95" s="69" t="s">
        <v>304</v>
      </c>
      <c r="E95" s="63">
        <v>60</v>
      </c>
      <c r="F95" s="33"/>
      <c r="G95" s="33"/>
      <c r="H95" s="33"/>
    </row>
    <row r="96" spans="4:8" ht="15.75" x14ac:dyDescent="0.25">
      <c r="D96" s="69" t="s">
        <v>302</v>
      </c>
      <c r="E96" s="63">
        <v>0.5</v>
      </c>
      <c r="F96" s="33"/>
      <c r="G96" s="33"/>
      <c r="H96" s="33"/>
    </row>
    <row r="97" spans="4:8" ht="15.75" x14ac:dyDescent="0.25">
      <c r="D97" s="68" t="s">
        <v>306</v>
      </c>
      <c r="E97" s="63">
        <f>E95-(E94*(1-(E93/E92)))</f>
        <v>33.333333333333329</v>
      </c>
      <c r="F97" s="33"/>
      <c r="G97" s="33"/>
      <c r="H97" s="33"/>
    </row>
    <row r="98" spans="4:8" x14ac:dyDescent="0.25">
      <c r="F98" s="33"/>
      <c r="G98" s="33"/>
      <c r="H98" s="33"/>
    </row>
    <row r="99" spans="4:8" ht="15.75" x14ac:dyDescent="0.25">
      <c r="D99" s="53" t="s">
        <v>273</v>
      </c>
      <c r="E99" s="53">
        <f>(0.366*E92/E97)*LN(3*E97/E96)</f>
        <v>174.52657405409235</v>
      </c>
      <c r="F99" s="33"/>
      <c r="G99" s="33"/>
      <c r="H99" s="33"/>
    </row>
    <row r="100" spans="4:8" x14ac:dyDescent="0.25">
      <c r="D100" s="33"/>
      <c r="E100" s="33"/>
      <c r="F100" s="33"/>
      <c r="G100" s="33"/>
      <c r="H100" s="33"/>
    </row>
    <row r="101" spans="4:8" x14ac:dyDescent="0.25">
      <c r="D101" s="33"/>
      <c r="E101" s="33"/>
      <c r="F101" s="33"/>
      <c r="G101" s="33"/>
      <c r="H101" s="33"/>
    </row>
    <row r="102" spans="4:8" x14ac:dyDescent="0.25">
      <c r="D102" s="33"/>
      <c r="E102" s="33"/>
      <c r="F102" s="33"/>
      <c r="G102" s="33"/>
      <c r="H102" s="33"/>
    </row>
    <row r="103" spans="4:8" x14ac:dyDescent="0.25">
      <c r="D103" s="33"/>
      <c r="E103" s="33"/>
      <c r="F103" s="33"/>
      <c r="G103" s="33"/>
      <c r="H103" s="33"/>
    </row>
    <row r="104" spans="4:8" x14ac:dyDescent="0.25">
      <c r="D104" s="33"/>
      <c r="E104" s="33"/>
      <c r="F104" s="33"/>
      <c r="G104" s="33"/>
      <c r="H104" s="33"/>
    </row>
    <row r="105" spans="4:8" x14ac:dyDescent="0.25">
      <c r="D105" s="33"/>
      <c r="E105" s="33"/>
      <c r="F105" s="33"/>
      <c r="G105" s="33"/>
      <c r="H105" s="33"/>
    </row>
    <row r="106" spans="4:8" x14ac:dyDescent="0.25">
      <c r="D106" s="33"/>
      <c r="E106" s="33"/>
      <c r="F106" s="33"/>
      <c r="G106" s="33"/>
      <c r="H106" s="33"/>
    </row>
    <row r="107" spans="4:8" x14ac:dyDescent="0.25">
      <c r="D107" s="33"/>
      <c r="E107" s="33"/>
      <c r="F107" s="33"/>
      <c r="G107" s="33"/>
      <c r="H107" s="33"/>
    </row>
    <row r="108" spans="4:8" x14ac:dyDescent="0.25">
      <c r="D108" s="33"/>
      <c r="E108" s="33"/>
      <c r="F108" s="33"/>
      <c r="G108" s="33"/>
      <c r="H108" s="33"/>
    </row>
    <row r="109" spans="4:8" x14ac:dyDescent="0.25">
      <c r="D109" s="33"/>
      <c r="E109" s="33"/>
      <c r="F109" s="33"/>
      <c r="G109" s="33"/>
      <c r="H109" s="33"/>
    </row>
    <row r="110" spans="4:8" x14ac:dyDescent="0.25">
      <c r="D110" s="33"/>
      <c r="E110" s="33"/>
      <c r="F110" s="33"/>
      <c r="G110" s="33"/>
      <c r="H110" s="33"/>
    </row>
    <row r="111" spans="4:8" x14ac:dyDescent="0.25">
      <c r="D111" s="33"/>
      <c r="E111" s="33"/>
      <c r="F111" s="33"/>
      <c r="G111" s="33"/>
      <c r="H111" s="33"/>
    </row>
    <row r="112" spans="4:8" x14ac:dyDescent="0.25">
      <c r="D112" s="33"/>
      <c r="E112" s="33"/>
      <c r="F112" s="33"/>
      <c r="G112" s="33"/>
      <c r="H112" s="33"/>
    </row>
    <row r="113" spans="4:8" x14ac:dyDescent="0.25">
      <c r="D113" s="33"/>
      <c r="E113" s="33"/>
      <c r="F113" s="33"/>
      <c r="G113" s="33"/>
      <c r="H113" s="33"/>
    </row>
    <row r="114" spans="4:8" x14ac:dyDescent="0.25">
      <c r="D114" s="33"/>
      <c r="E114" s="33"/>
      <c r="F114" s="33"/>
      <c r="G114" s="33"/>
      <c r="H114" s="33"/>
    </row>
    <row r="115" spans="4:8" x14ac:dyDescent="0.25">
      <c r="D115" s="33"/>
      <c r="E115" s="33"/>
      <c r="F115" s="33"/>
      <c r="G115" s="33"/>
      <c r="H115" s="33"/>
    </row>
    <row r="116" spans="4:8" x14ac:dyDescent="0.25">
      <c r="D116" s="33"/>
      <c r="E116" s="33"/>
      <c r="F116" s="33"/>
      <c r="G116" s="33"/>
      <c r="H116" s="33"/>
    </row>
    <row r="117" spans="4:8" x14ac:dyDescent="0.25">
      <c r="D117" s="33"/>
      <c r="E117" s="33"/>
      <c r="F117" s="33"/>
      <c r="G117" s="33"/>
      <c r="H117" s="33"/>
    </row>
    <row r="118" spans="4:8" x14ac:dyDescent="0.25">
      <c r="D118" s="33"/>
      <c r="E118" s="33"/>
      <c r="F118" s="33"/>
      <c r="G118" s="33"/>
      <c r="H118" s="33"/>
    </row>
    <row r="119" spans="4:8" x14ac:dyDescent="0.25">
      <c r="D119" s="33"/>
      <c r="E119" s="33"/>
      <c r="F119" s="33"/>
      <c r="G119" s="33"/>
      <c r="H119" s="33"/>
    </row>
    <row r="120" spans="4:8" x14ac:dyDescent="0.25">
      <c r="D120" s="33"/>
      <c r="E120" s="33"/>
      <c r="F120" s="33"/>
      <c r="G120" s="33"/>
      <c r="H120" s="33"/>
    </row>
    <row r="121" spans="4:8" x14ac:dyDescent="0.25">
      <c r="D121" s="33"/>
      <c r="E121" s="33"/>
      <c r="F121" s="33"/>
      <c r="G121" s="33"/>
      <c r="H121" s="33"/>
    </row>
    <row r="122" spans="4:8" x14ac:dyDescent="0.25">
      <c r="D122" s="33"/>
      <c r="E122" s="33"/>
      <c r="F122" s="33"/>
      <c r="G122" s="33"/>
      <c r="H122" s="33"/>
    </row>
    <row r="123" spans="4:8" x14ac:dyDescent="0.25">
      <c r="D123" s="33"/>
      <c r="E123" s="33"/>
      <c r="F123" s="33"/>
      <c r="G123" s="33"/>
      <c r="H123" s="33"/>
    </row>
    <row r="124" spans="4:8" x14ac:dyDescent="0.25">
      <c r="D124" s="33"/>
      <c r="E124" s="33"/>
      <c r="F124" s="33"/>
      <c r="G124" s="33"/>
      <c r="H124" s="33"/>
    </row>
    <row r="125" spans="4:8" x14ac:dyDescent="0.25">
      <c r="D125" s="33"/>
      <c r="E125" s="33"/>
      <c r="F125" s="33"/>
      <c r="G125" s="33"/>
      <c r="H125" s="33"/>
    </row>
    <row r="126" spans="4:8" x14ac:dyDescent="0.25">
      <c r="D126" s="33"/>
      <c r="E126" s="33"/>
      <c r="F126" s="33"/>
      <c r="G126" s="33"/>
      <c r="H126" s="33"/>
    </row>
    <row r="127" spans="4:8" x14ac:dyDescent="0.25">
      <c r="D127" s="33"/>
      <c r="E127" s="33"/>
      <c r="F127" s="33"/>
      <c r="G127" s="33"/>
      <c r="H127" s="33"/>
    </row>
    <row r="128" spans="4:8" x14ac:dyDescent="0.25">
      <c r="D128" s="33"/>
      <c r="E128" s="33"/>
      <c r="F128" s="33"/>
      <c r="G128" s="33"/>
      <c r="H128" s="33"/>
    </row>
    <row r="129" spans="4:8" x14ac:dyDescent="0.25">
      <c r="D129" s="33"/>
      <c r="E129" s="33"/>
      <c r="F129" s="33"/>
      <c r="G129" s="33"/>
      <c r="H129" s="33"/>
    </row>
    <row r="130" spans="4:8" x14ac:dyDescent="0.25">
      <c r="D130" s="33"/>
      <c r="E130" s="33"/>
      <c r="F130" s="33"/>
      <c r="G130" s="33"/>
      <c r="H130" s="33"/>
    </row>
    <row r="131" spans="4:8" x14ac:dyDescent="0.25">
      <c r="D131" s="33"/>
      <c r="E131" s="33"/>
      <c r="F131" s="33"/>
      <c r="G131" s="33"/>
      <c r="H131" s="33"/>
    </row>
    <row r="132" spans="4:8" x14ac:dyDescent="0.25">
      <c r="D132" s="33"/>
      <c r="E132" s="33"/>
      <c r="F132" s="33"/>
      <c r="G132" s="33"/>
      <c r="H132" s="33"/>
    </row>
    <row r="133" spans="4:8" x14ac:dyDescent="0.25">
      <c r="D133" s="33"/>
      <c r="E133" s="33"/>
      <c r="F133" s="33"/>
      <c r="G133" s="33"/>
      <c r="H133" s="33"/>
    </row>
    <row r="134" spans="4:8" x14ac:dyDescent="0.25">
      <c r="D134" s="33"/>
      <c r="E134" s="33"/>
      <c r="F134" s="33"/>
      <c r="G134" s="33"/>
      <c r="H134" s="33"/>
    </row>
    <row r="135" spans="4:8" x14ac:dyDescent="0.25">
      <c r="D135" s="33"/>
      <c r="E135" s="33"/>
      <c r="F135" s="33"/>
      <c r="G135" s="33"/>
      <c r="H135" s="33"/>
    </row>
    <row r="136" spans="4:8" x14ac:dyDescent="0.25">
      <c r="D136" s="33"/>
      <c r="E136" s="33"/>
      <c r="F136" s="33"/>
      <c r="G136" s="33"/>
      <c r="H136" s="33"/>
    </row>
    <row r="137" spans="4:8" x14ac:dyDescent="0.25">
      <c r="D137" s="33"/>
      <c r="E137" s="33"/>
      <c r="F137" s="33"/>
      <c r="G137" s="33"/>
      <c r="H137" s="33"/>
    </row>
    <row r="138" spans="4:8" x14ac:dyDescent="0.25">
      <c r="D138" s="33"/>
      <c r="E138" s="33"/>
      <c r="F138" s="33"/>
      <c r="G138" s="33"/>
      <c r="H138" s="33"/>
    </row>
    <row r="139" spans="4:8" x14ac:dyDescent="0.25">
      <c r="D139" s="33"/>
      <c r="E139" s="33"/>
      <c r="F139" s="33"/>
      <c r="G139" s="33"/>
      <c r="H139" s="33"/>
    </row>
    <row r="140" spans="4:8" x14ac:dyDescent="0.25">
      <c r="D140" s="33"/>
      <c r="E140" s="33"/>
      <c r="F140" s="33"/>
      <c r="G140" s="33"/>
      <c r="H140" s="33"/>
    </row>
    <row r="141" spans="4:8" x14ac:dyDescent="0.25">
      <c r="D141" s="33"/>
      <c r="E141" s="33"/>
      <c r="F141" s="33"/>
      <c r="G141" s="33"/>
      <c r="H141" s="33"/>
    </row>
    <row r="142" spans="4:8" x14ac:dyDescent="0.25">
      <c r="D142" s="33"/>
      <c r="E142" s="33"/>
      <c r="F142" s="33"/>
      <c r="G142" s="33"/>
      <c r="H142" s="33"/>
    </row>
    <row r="143" spans="4:8" x14ac:dyDescent="0.25">
      <c r="D143" s="33"/>
      <c r="E143" s="33"/>
      <c r="F143" s="33"/>
      <c r="G143" s="33"/>
      <c r="H143" s="33"/>
    </row>
    <row r="144" spans="4:8" x14ac:dyDescent="0.25">
      <c r="D144" s="33"/>
      <c r="E144" s="33"/>
      <c r="F144" s="33"/>
      <c r="G144" s="33"/>
      <c r="H144" s="33"/>
    </row>
    <row r="145" spans="4:8" x14ac:dyDescent="0.25">
      <c r="D145" s="33"/>
      <c r="E145" s="33"/>
      <c r="F145" s="33"/>
      <c r="G145" s="33"/>
      <c r="H145" s="33"/>
    </row>
    <row r="146" spans="4:8" x14ac:dyDescent="0.25">
      <c r="D146" s="33"/>
      <c r="E146" s="33"/>
      <c r="F146" s="33"/>
      <c r="G146" s="33"/>
      <c r="H146" s="33"/>
    </row>
    <row r="147" spans="4:8" x14ac:dyDescent="0.25">
      <c r="D147" s="33"/>
      <c r="E147" s="33"/>
      <c r="F147" s="33"/>
      <c r="G147" s="33"/>
      <c r="H147" s="33"/>
    </row>
    <row r="148" spans="4:8" x14ac:dyDescent="0.25">
      <c r="D148" s="33"/>
      <c r="E148" s="33"/>
      <c r="F148" s="33"/>
      <c r="G148" s="33"/>
      <c r="H148" s="33"/>
    </row>
    <row r="149" spans="4:8" x14ac:dyDescent="0.25">
      <c r="D149" s="33"/>
      <c r="E149" s="33"/>
      <c r="F149" s="33"/>
      <c r="G149" s="33"/>
      <c r="H149" s="33"/>
    </row>
    <row r="150" spans="4:8" x14ac:dyDescent="0.25">
      <c r="D150" s="33"/>
      <c r="E150" s="33"/>
      <c r="F150" s="33"/>
      <c r="G150" s="33"/>
      <c r="H150" s="33"/>
    </row>
    <row r="151" spans="4:8" x14ac:dyDescent="0.25">
      <c r="D151" s="33"/>
      <c r="E151" s="33"/>
      <c r="F151" s="33"/>
      <c r="G151" s="33"/>
      <c r="H151" s="33"/>
    </row>
    <row r="152" spans="4:8" x14ac:dyDescent="0.25">
      <c r="D152" s="33"/>
      <c r="E152" s="33"/>
      <c r="F152" s="33"/>
      <c r="G152" s="33"/>
      <c r="H152" s="33"/>
    </row>
    <row r="153" spans="4:8" x14ac:dyDescent="0.25">
      <c r="D153" s="33"/>
      <c r="E153" s="33"/>
      <c r="F153" s="33"/>
      <c r="G153" s="33"/>
      <c r="H153" s="33"/>
    </row>
    <row r="154" spans="4:8" x14ac:dyDescent="0.25">
      <c r="D154" s="33"/>
      <c r="E154" s="33"/>
      <c r="F154" s="33"/>
      <c r="G154" s="33"/>
      <c r="H154" s="33"/>
    </row>
    <row r="155" spans="4:8" x14ac:dyDescent="0.25">
      <c r="D155" s="33"/>
      <c r="E155" s="33"/>
      <c r="F155" s="33"/>
      <c r="G155" s="33"/>
      <c r="H155" s="33"/>
    </row>
  </sheetData>
  <conditionalFormatting sqref="E11:E17">
    <cfRule type="expression" dxfId="78" priority="3">
      <formula>$D$6="Basic formula for Concrete-encased Rod Electrode"</formula>
    </cfRule>
  </conditionalFormatting>
  <conditionalFormatting sqref="E13:E17">
    <cfRule type="expression" dxfId="77" priority="2">
      <formula>$D$6="Case where the ground is a dual nature medium"</formula>
    </cfRule>
  </conditionalFormatting>
  <conditionalFormatting sqref="E30:E31">
    <cfRule type="expression" dxfId="76" priority="1">
      <formula>$D$24="Sunde's equation for electrode"</formula>
    </cfRule>
  </conditionalFormatting>
  <dataValidations count="3">
    <dataValidation type="list" allowBlank="1" showInputMessage="1" showErrorMessage="1" sqref="D81" xr:uid="{00000000-0002-0000-0000-000000000000}">
      <formula1>Gomez</formula1>
    </dataValidation>
    <dataValidation type="list" allowBlank="1" showInputMessage="1" showErrorMessage="1" sqref="D24" xr:uid="{00000000-0002-0000-0000-000001000000}">
      <formula1>Turbine</formula1>
    </dataValidation>
    <dataValidation type="list" allowBlank="1" showInputMessage="1" showErrorMessage="1" sqref="D6" xr:uid="{00000000-0002-0000-0000-000002000000}">
      <formula1>Concrete</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H11:N94"/>
  <sheetViews>
    <sheetView workbookViewId="0">
      <selection activeCell="Q94" sqref="Q94"/>
    </sheetView>
  </sheetViews>
  <sheetFormatPr defaultRowHeight="15" x14ac:dyDescent="0.25"/>
  <cols>
    <col min="1" max="16384" width="9.140625" style="33"/>
  </cols>
  <sheetData>
    <row r="11" spans="14:14" x14ac:dyDescent="0.25">
      <c r="N11" s="148" t="s">
        <v>314</v>
      </c>
    </row>
    <row r="23" spans="14:14" x14ac:dyDescent="0.25">
      <c r="N23" s="148" t="s">
        <v>315</v>
      </c>
    </row>
    <row r="44" spans="8:14" x14ac:dyDescent="0.25">
      <c r="H44" s="148" t="s">
        <v>316</v>
      </c>
      <c r="N44" s="148" t="s">
        <v>317</v>
      </c>
    </row>
    <row r="94" spans="12:12" ht="21" x14ac:dyDescent="0.35">
      <c r="L94" s="149" t="s">
        <v>318</v>
      </c>
    </row>
  </sheetData>
  <sheetProtection algorithmName="SHA-512" hashValue="HQYZm7ed/y0F6LZ6sNYaCVHA2AcvSSoU03yk/066/TF0ntr09fv575d4lpKpLS9NIpViQ1Xxza31BecdGMIT2w==" saltValue="YQjqB7i4f2IcnI5FiEztIw==" spinCount="100000" sheet="1" objects="1" scenarios="1" selectLockedCell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F2:U93"/>
  <sheetViews>
    <sheetView topLeftCell="D81" workbookViewId="0">
      <selection activeCell="N84" sqref="N84"/>
    </sheetView>
  </sheetViews>
  <sheetFormatPr defaultRowHeight="15" x14ac:dyDescent="0.25"/>
  <cols>
    <col min="1" max="11" width="9.140625" style="154"/>
    <col min="12" max="12" width="11.28515625" style="154" customWidth="1"/>
    <col min="13" max="16384" width="9.140625" style="154"/>
  </cols>
  <sheetData>
    <row r="2" spans="6:21" x14ac:dyDescent="0.25">
      <c r="F2" s="150"/>
      <c r="G2" s="150"/>
      <c r="H2" s="150"/>
      <c r="I2" s="150"/>
      <c r="J2" s="150"/>
      <c r="K2" s="150"/>
      <c r="L2" s="150"/>
      <c r="M2" s="150"/>
      <c r="N2" s="150"/>
      <c r="O2" s="150"/>
      <c r="P2" s="150"/>
      <c r="Q2" s="150"/>
      <c r="R2" s="150"/>
      <c r="S2" s="150"/>
      <c r="T2" s="150"/>
      <c r="U2" s="150"/>
    </row>
    <row r="3" spans="6:21" x14ac:dyDescent="0.25">
      <c r="F3" s="150"/>
      <c r="G3" s="150"/>
      <c r="H3" s="150"/>
      <c r="I3" s="150"/>
      <c r="J3" s="150"/>
      <c r="K3" s="150"/>
      <c r="L3" s="150"/>
      <c r="M3" s="150"/>
      <c r="N3" s="150"/>
      <c r="O3" s="150"/>
      <c r="P3" s="150"/>
      <c r="Q3" s="150"/>
      <c r="R3" s="150"/>
      <c r="S3" s="150"/>
      <c r="T3" s="150"/>
      <c r="U3" s="150"/>
    </row>
    <row r="4" spans="6:21" x14ac:dyDescent="0.25">
      <c r="F4" s="150"/>
      <c r="G4" s="150"/>
      <c r="H4" s="150"/>
      <c r="I4" s="150"/>
      <c r="J4" s="150"/>
      <c r="K4" s="150"/>
      <c r="L4" s="150"/>
      <c r="M4" s="150"/>
      <c r="N4" s="150"/>
      <c r="O4" s="150"/>
      <c r="P4" s="150"/>
      <c r="Q4" s="150"/>
      <c r="R4" s="150"/>
      <c r="S4" s="150"/>
      <c r="T4" s="150"/>
      <c r="U4" s="150"/>
    </row>
    <row r="5" spans="6:21" x14ac:dyDescent="0.25">
      <c r="F5" s="150"/>
      <c r="G5" s="150"/>
      <c r="H5" s="150"/>
      <c r="I5" s="150"/>
      <c r="J5" s="150"/>
      <c r="K5" s="150"/>
      <c r="L5" s="150"/>
      <c r="M5" s="150"/>
      <c r="N5" s="150"/>
      <c r="O5" s="150"/>
      <c r="P5" s="150"/>
      <c r="Q5" s="150"/>
      <c r="R5" s="150"/>
      <c r="S5" s="150"/>
      <c r="T5" s="150"/>
      <c r="U5" s="150"/>
    </row>
    <row r="6" spans="6:21" ht="15.75" x14ac:dyDescent="0.25">
      <c r="F6" s="151" t="s">
        <v>10</v>
      </c>
      <c r="G6" s="150"/>
      <c r="H6" s="150"/>
      <c r="I6" s="150"/>
      <c r="J6" s="150"/>
      <c r="K6" s="150"/>
      <c r="L6" s="150"/>
      <c r="M6" s="150"/>
      <c r="N6" s="150"/>
      <c r="O6" s="150"/>
      <c r="P6" s="150"/>
      <c r="Q6" s="58" t="s">
        <v>15</v>
      </c>
      <c r="R6" s="150"/>
      <c r="S6" s="58" t="s">
        <v>196</v>
      </c>
      <c r="T6" s="150"/>
      <c r="U6" s="150"/>
    </row>
    <row r="7" spans="6:21" ht="15.75" x14ac:dyDescent="0.25">
      <c r="F7" s="152" t="s">
        <v>11</v>
      </c>
      <c r="G7" s="150"/>
      <c r="H7" s="150"/>
      <c r="I7" s="150"/>
      <c r="J7" s="150"/>
      <c r="K7" s="150"/>
      <c r="L7" s="150"/>
      <c r="M7" s="150"/>
      <c r="N7" s="150"/>
      <c r="O7" s="150"/>
      <c r="P7" s="150"/>
      <c r="Q7" s="150">
        <v>2</v>
      </c>
      <c r="R7" s="150"/>
      <c r="S7" s="150" t="s">
        <v>197</v>
      </c>
      <c r="T7" s="150"/>
      <c r="U7" s="150"/>
    </row>
    <row r="8" spans="6:21" ht="15.75" x14ac:dyDescent="0.25">
      <c r="F8" s="152" t="s">
        <v>6</v>
      </c>
      <c r="G8" s="150"/>
      <c r="H8" s="150"/>
      <c r="I8" s="150"/>
      <c r="J8" s="150"/>
      <c r="K8" s="150"/>
      <c r="L8" s="150"/>
      <c r="M8" s="150"/>
      <c r="N8" s="150"/>
      <c r="O8" s="150"/>
      <c r="P8" s="150"/>
      <c r="Q8" s="150">
        <v>3</v>
      </c>
      <c r="R8" s="150"/>
      <c r="S8" s="150" t="s">
        <v>198</v>
      </c>
      <c r="T8" s="150"/>
      <c r="U8" s="150"/>
    </row>
    <row r="9" spans="6:21" ht="15.75" x14ac:dyDescent="0.25">
      <c r="F9" s="152" t="s">
        <v>7</v>
      </c>
      <c r="G9" s="150"/>
      <c r="H9" s="150"/>
      <c r="I9" s="150"/>
      <c r="J9" s="150"/>
      <c r="K9" s="150"/>
      <c r="L9" s="150"/>
      <c r="M9" s="150"/>
      <c r="N9" s="150"/>
      <c r="O9" s="150"/>
      <c r="P9" s="150"/>
      <c r="Q9" s="150">
        <v>4</v>
      </c>
      <c r="R9" s="150"/>
      <c r="S9" s="150"/>
      <c r="T9" s="150"/>
      <c r="U9" s="150"/>
    </row>
    <row r="10" spans="6:21" ht="15.75" x14ac:dyDescent="0.25">
      <c r="F10" s="152" t="s">
        <v>8</v>
      </c>
      <c r="G10" s="150"/>
      <c r="H10" s="150"/>
      <c r="I10" s="150"/>
      <c r="J10" s="150"/>
      <c r="K10" s="150"/>
      <c r="L10" s="150"/>
      <c r="M10" s="150"/>
      <c r="N10" s="150"/>
      <c r="O10" s="150"/>
      <c r="P10" s="150"/>
      <c r="Q10" s="150">
        <v>6</v>
      </c>
      <c r="R10" s="150"/>
      <c r="S10" s="150"/>
      <c r="T10" s="150"/>
      <c r="U10" s="150"/>
    </row>
    <row r="11" spans="6:21" ht="15.75" x14ac:dyDescent="0.25">
      <c r="F11" s="152" t="s">
        <v>5</v>
      </c>
      <c r="G11" s="150"/>
      <c r="H11" s="150"/>
      <c r="I11" s="150"/>
      <c r="J11" s="150"/>
      <c r="K11" s="150"/>
      <c r="L11" s="150"/>
      <c r="M11" s="150"/>
      <c r="N11" s="150"/>
      <c r="O11" s="150"/>
      <c r="P11" s="150"/>
      <c r="Q11" s="150" t="s">
        <v>16</v>
      </c>
      <c r="R11" s="150"/>
      <c r="S11" s="150"/>
      <c r="T11" s="150"/>
      <c r="U11" s="150"/>
    </row>
    <row r="12" spans="6:21" ht="15.75" x14ac:dyDescent="0.25">
      <c r="F12" s="152" t="s">
        <v>9</v>
      </c>
      <c r="G12" s="150"/>
      <c r="H12" s="150"/>
      <c r="I12" s="150"/>
      <c r="J12" s="150"/>
      <c r="K12" s="150"/>
      <c r="L12" s="150"/>
      <c r="M12" s="150"/>
      <c r="N12" s="150"/>
      <c r="O12" s="150"/>
      <c r="P12" s="150"/>
      <c r="Q12" s="150" t="s">
        <v>17</v>
      </c>
      <c r="R12" s="150"/>
      <c r="S12" s="150"/>
      <c r="T12" s="150"/>
      <c r="U12" s="150"/>
    </row>
    <row r="13" spans="6:21" ht="15.75" x14ac:dyDescent="0.25">
      <c r="F13" s="152" t="s">
        <v>4</v>
      </c>
      <c r="G13" s="150"/>
      <c r="H13" s="150"/>
      <c r="I13" s="150"/>
      <c r="J13" s="150"/>
      <c r="K13" s="150"/>
      <c r="L13" s="150"/>
      <c r="M13" s="150"/>
      <c r="N13" s="150"/>
      <c r="O13" s="150"/>
      <c r="P13" s="150"/>
      <c r="Q13" s="150"/>
      <c r="R13" s="150"/>
      <c r="S13" s="150"/>
      <c r="T13" s="150"/>
      <c r="U13" s="150"/>
    </row>
    <row r="14" spans="6:21" ht="15.75" x14ac:dyDescent="0.25">
      <c r="F14" s="152" t="s">
        <v>3</v>
      </c>
      <c r="G14" s="150"/>
      <c r="H14" s="150"/>
      <c r="I14" s="150"/>
      <c r="J14" s="150"/>
      <c r="K14" s="150"/>
      <c r="L14" s="150"/>
      <c r="M14" s="150"/>
      <c r="N14" s="150"/>
      <c r="O14" s="150"/>
      <c r="P14" s="150"/>
      <c r="Q14" s="150"/>
      <c r="R14" s="150"/>
      <c r="S14" s="150"/>
      <c r="T14" s="150"/>
      <c r="U14" s="150"/>
    </row>
    <row r="15" spans="6:21" ht="15.75" x14ac:dyDescent="0.25">
      <c r="F15" s="152" t="s">
        <v>14</v>
      </c>
      <c r="G15" s="150"/>
      <c r="H15" s="150"/>
      <c r="I15" s="150"/>
      <c r="J15" s="150"/>
      <c r="K15" s="150"/>
      <c r="L15" s="150"/>
      <c r="M15" s="150"/>
      <c r="N15" s="150"/>
      <c r="O15" s="150"/>
      <c r="P15" s="150"/>
      <c r="Q15" s="150"/>
      <c r="R15" s="150"/>
      <c r="S15" s="150"/>
      <c r="T15" s="150"/>
      <c r="U15" s="150"/>
    </row>
    <row r="16" spans="6:21" ht="15.75" x14ac:dyDescent="0.25">
      <c r="F16" s="152" t="s">
        <v>2</v>
      </c>
      <c r="G16" s="150"/>
      <c r="H16" s="150"/>
      <c r="I16" s="150"/>
      <c r="J16" s="150"/>
      <c r="K16" s="150"/>
      <c r="L16" s="150"/>
      <c r="M16" s="150"/>
      <c r="N16" s="150"/>
      <c r="O16" s="150"/>
      <c r="P16" s="150"/>
      <c r="Q16" s="150"/>
      <c r="R16" s="150"/>
      <c r="S16" s="150"/>
      <c r="T16" s="150"/>
      <c r="U16" s="150"/>
    </row>
    <row r="17" spans="6:21" ht="15.75" x14ac:dyDescent="0.25">
      <c r="F17" s="152" t="s">
        <v>1</v>
      </c>
      <c r="G17" s="150"/>
      <c r="H17" s="150"/>
      <c r="I17" s="150"/>
      <c r="J17" s="150"/>
      <c r="K17" s="150"/>
      <c r="L17" s="150"/>
      <c r="M17" s="150"/>
      <c r="N17" s="150"/>
      <c r="O17" s="150"/>
      <c r="P17" s="150"/>
      <c r="Q17" s="150"/>
      <c r="R17" s="150"/>
      <c r="S17" s="150"/>
      <c r="T17" s="150"/>
      <c r="U17" s="150"/>
    </row>
    <row r="18" spans="6:21" ht="15.75" x14ac:dyDescent="0.25">
      <c r="F18" s="152" t="s">
        <v>0</v>
      </c>
      <c r="G18" s="150"/>
      <c r="H18" s="150"/>
      <c r="I18" s="150"/>
      <c r="J18" s="150"/>
      <c r="K18" s="150"/>
      <c r="L18" s="150"/>
      <c r="M18" s="150"/>
      <c r="N18" s="150"/>
      <c r="O18" s="150"/>
      <c r="P18" s="150"/>
      <c r="Q18" s="150"/>
      <c r="R18" s="150"/>
      <c r="S18" s="150"/>
      <c r="T18" s="150"/>
      <c r="U18" s="150"/>
    </row>
    <row r="19" spans="6:21" x14ac:dyDescent="0.25">
      <c r="F19" s="150" t="s">
        <v>195</v>
      </c>
      <c r="G19" s="150"/>
      <c r="H19" s="150"/>
      <c r="I19" s="150"/>
      <c r="J19" s="150"/>
      <c r="K19" s="150"/>
      <c r="L19" s="150"/>
      <c r="M19" s="150"/>
      <c r="N19" s="150"/>
      <c r="O19" s="150"/>
      <c r="P19" s="150"/>
      <c r="Q19" s="150"/>
      <c r="R19" s="150"/>
      <c r="S19" s="150"/>
      <c r="T19" s="150"/>
      <c r="U19" s="150"/>
    </row>
    <row r="20" spans="6:21" x14ac:dyDescent="0.25">
      <c r="F20" s="150"/>
      <c r="G20" s="150"/>
      <c r="H20" s="150"/>
      <c r="I20" s="150"/>
      <c r="J20" s="150"/>
      <c r="K20" s="150"/>
      <c r="L20" s="150"/>
      <c r="M20" s="150"/>
      <c r="N20" s="150"/>
      <c r="O20" s="150"/>
      <c r="P20" s="150"/>
      <c r="Q20" s="150"/>
      <c r="R20" s="150"/>
      <c r="S20" s="150"/>
      <c r="T20" s="150"/>
      <c r="U20" s="150"/>
    </row>
    <row r="21" spans="6:21" x14ac:dyDescent="0.25">
      <c r="F21" s="150"/>
      <c r="G21" s="150"/>
      <c r="H21" s="150"/>
      <c r="I21" s="150"/>
      <c r="J21" s="150"/>
      <c r="K21" s="150"/>
      <c r="L21" s="150"/>
      <c r="M21" s="150"/>
      <c r="N21" s="150"/>
      <c r="O21" s="150"/>
      <c r="P21" s="150"/>
      <c r="Q21" s="150"/>
      <c r="R21" s="150"/>
      <c r="S21" s="150"/>
      <c r="T21" s="150"/>
      <c r="U21" s="150"/>
    </row>
    <row r="22" spans="6:21" x14ac:dyDescent="0.25">
      <c r="F22" s="150"/>
      <c r="G22" s="150"/>
      <c r="H22" s="150"/>
      <c r="I22" s="150"/>
      <c r="J22" s="150"/>
      <c r="K22" s="150"/>
      <c r="L22" s="150"/>
      <c r="M22" s="150"/>
      <c r="N22" s="150"/>
      <c r="O22" s="150"/>
      <c r="P22" s="150"/>
      <c r="Q22" s="150"/>
      <c r="R22" s="150"/>
      <c r="S22" s="150"/>
      <c r="T22" s="150"/>
      <c r="U22" s="150"/>
    </row>
    <row r="23" spans="6:21" x14ac:dyDescent="0.25">
      <c r="F23" s="58" t="s">
        <v>33</v>
      </c>
      <c r="G23" s="150"/>
      <c r="H23" s="150"/>
      <c r="I23" s="150"/>
      <c r="J23" s="58" t="s">
        <v>39</v>
      </c>
      <c r="K23" s="58" t="s">
        <v>43</v>
      </c>
      <c r="L23" s="58" t="s">
        <v>44</v>
      </c>
      <c r="M23" s="150"/>
      <c r="N23" s="58" t="s">
        <v>52</v>
      </c>
      <c r="O23" s="150"/>
      <c r="P23" s="150"/>
      <c r="Q23" s="150" t="s">
        <v>75</v>
      </c>
      <c r="R23" s="150" t="s">
        <v>40</v>
      </c>
      <c r="S23" s="150" t="s">
        <v>41</v>
      </c>
      <c r="T23" s="150"/>
      <c r="U23" s="150"/>
    </row>
    <row r="24" spans="6:21" x14ac:dyDescent="0.25">
      <c r="F24" s="150" t="s">
        <v>21</v>
      </c>
      <c r="G24" s="150"/>
      <c r="H24" s="150"/>
      <c r="I24" s="150"/>
      <c r="J24" s="150" t="s">
        <v>40</v>
      </c>
      <c r="K24" s="150">
        <v>700</v>
      </c>
      <c r="L24" s="150" t="s">
        <v>45</v>
      </c>
      <c r="M24" s="150"/>
      <c r="N24" s="150" t="s">
        <v>76</v>
      </c>
      <c r="O24" s="150" t="s">
        <v>40</v>
      </c>
      <c r="P24" s="150">
        <v>1</v>
      </c>
      <c r="Q24" s="150">
        <v>150</v>
      </c>
      <c r="R24" s="150" t="s">
        <v>59</v>
      </c>
      <c r="S24" s="150" t="s">
        <v>59</v>
      </c>
      <c r="T24" s="150"/>
      <c r="U24" s="150"/>
    </row>
    <row r="25" spans="6:21" x14ac:dyDescent="0.25">
      <c r="F25" s="150" t="s">
        <v>22</v>
      </c>
      <c r="G25" s="150"/>
      <c r="H25" s="150"/>
      <c r="I25" s="150"/>
      <c r="J25" s="150" t="s">
        <v>41</v>
      </c>
      <c r="K25" s="150">
        <v>600</v>
      </c>
      <c r="L25" s="150" t="s">
        <v>46</v>
      </c>
      <c r="M25" s="150"/>
      <c r="N25" s="150" t="s">
        <v>77</v>
      </c>
      <c r="O25" s="150" t="s">
        <v>41</v>
      </c>
      <c r="P25" s="150">
        <v>3</v>
      </c>
      <c r="Q25" s="150">
        <v>200</v>
      </c>
      <c r="R25" s="150" t="s">
        <v>60</v>
      </c>
      <c r="S25" s="150" t="s">
        <v>60</v>
      </c>
      <c r="T25" s="150"/>
      <c r="U25" s="150"/>
    </row>
    <row r="26" spans="6:21" x14ac:dyDescent="0.25">
      <c r="F26" s="150" t="s">
        <v>24</v>
      </c>
      <c r="G26" s="150"/>
      <c r="H26" s="150"/>
      <c r="I26" s="150"/>
      <c r="J26" s="150" t="s">
        <v>42</v>
      </c>
      <c r="K26" s="150">
        <v>500</v>
      </c>
      <c r="L26" s="150" t="s">
        <v>47</v>
      </c>
      <c r="M26" s="150"/>
      <c r="N26" s="150"/>
      <c r="O26" s="150"/>
      <c r="P26" s="150"/>
      <c r="Q26" s="150">
        <v>250</v>
      </c>
      <c r="R26" s="150" t="s">
        <v>61</v>
      </c>
      <c r="S26" s="150" t="s">
        <v>62</v>
      </c>
      <c r="T26" s="150"/>
      <c r="U26" s="150"/>
    </row>
    <row r="27" spans="6:21" x14ac:dyDescent="0.25">
      <c r="F27" s="150" t="s">
        <v>23</v>
      </c>
      <c r="G27" s="150"/>
      <c r="H27" s="150"/>
      <c r="I27" s="150"/>
      <c r="J27" s="150"/>
      <c r="K27" s="150">
        <v>450</v>
      </c>
      <c r="L27" s="150" t="s">
        <v>48</v>
      </c>
      <c r="M27" s="150"/>
      <c r="N27" s="150"/>
      <c r="O27" s="150"/>
      <c r="P27" s="150"/>
      <c r="Q27" s="150">
        <v>300</v>
      </c>
      <c r="R27" s="150" t="s">
        <v>62</v>
      </c>
      <c r="S27" s="150" t="s">
        <v>71</v>
      </c>
      <c r="T27" s="150"/>
      <c r="U27" s="150"/>
    </row>
    <row r="28" spans="6:21" x14ac:dyDescent="0.25">
      <c r="F28" s="150" t="s">
        <v>25</v>
      </c>
      <c r="G28" s="150"/>
      <c r="H28" s="150"/>
      <c r="I28" s="150"/>
      <c r="J28" s="150"/>
      <c r="K28" s="150">
        <v>400</v>
      </c>
      <c r="L28" s="150"/>
      <c r="M28" s="150"/>
      <c r="N28" s="150"/>
      <c r="O28" s="150"/>
      <c r="P28" s="150"/>
      <c r="Q28" s="150">
        <v>450</v>
      </c>
      <c r="R28" s="150" t="s">
        <v>63</v>
      </c>
      <c r="S28" s="150" t="s">
        <v>72</v>
      </c>
      <c r="T28" s="150"/>
      <c r="U28" s="150"/>
    </row>
    <row r="29" spans="6:21" x14ac:dyDescent="0.25">
      <c r="F29" s="150" t="s">
        <v>35</v>
      </c>
      <c r="G29" s="150"/>
      <c r="H29" s="150"/>
      <c r="I29" s="150"/>
      <c r="J29" s="150"/>
      <c r="K29" s="150">
        <v>350</v>
      </c>
      <c r="L29" s="150"/>
      <c r="M29" s="150"/>
      <c r="N29" s="150"/>
      <c r="O29" s="150"/>
      <c r="P29" s="150"/>
      <c r="Q29" s="150">
        <v>500</v>
      </c>
      <c r="R29" s="150" t="s">
        <v>64</v>
      </c>
      <c r="S29" s="150" t="s">
        <v>73</v>
      </c>
      <c r="T29" s="150"/>
      <c r="U29" s="150"/>
    </row>
    <row r="30" spans="6:21" x14ac:dyDescent="0.25">
      <c r="F30" s="150" t="s">
        <v>26</v>
      </c>
      <c r="G30" s="150"/>
      <c r="H30" s="150"/>
      <c r="I30" s="150"/>
      <c r="J30" s="150"/>
      <c r="K30" s="150">
        <v>300</v>
      </c>
      <c r="L30" s="150"/>
      <c r="M30" s="150"/>
      <c r="N30" s="150"/>
      <c r="O30" s="150"/>
      <c r="P30" s="150"/>
      <c r="Q30" s="150"/>
      <c r="R30" s="150" t="s">
        <v>65</v>
      </c>
      <c r="S30" s="150"/>
      <c r="T30" s="150"/>
      <c r="U30" s="150"/>
    </row>
    <row r="31" spans="6:21" x14ac:dyDescent="0.25">
      <c r="F31" s="150" t="s">
        <v>27</v>
      </c>
      <c r="G31" s="150"/>
      <c r="H31" s="150"/>
      <c r="I31" s="150"/>
      <c r="J31" s="150"/>
      <c r="K31" s="150">
        <v>250</v>
      </c>
      <c r="L31" s="150"/>
      <c r="M31" s="150"/>
      <c r="N31" s="150"/>
      <c r="O31" s="150"/>
      <c r="P31" s="150"/>
      <c r="Q31" s="150"/>
      <c r="R31" s="150" t="s">
        <v>66</v>
      </c>
      <c r="S31" s="150"/>
      <c r="T31" s="150"/>
      <c r="U31" s="150"/>
    </row>
    <row r="32" spans="6:21" x14ac:dyDescent="0.25">
      <c r="F32" s="150" t="s">
        <v>36</v>
      </c>
      <c r="G32" s="150"/>
      <c r="H32" s="150"/>
      <c r="I32" s="150"/>
      <c r="J32" s="150"/>
      <c r="K32" s="150">
        <v>200</v>
      </c>
      <c r="L32" s="150"/>
      <c r="M32" s="150"/>
      <c r="N32" s="150"/>
      <c r="O32" s="150"/>
      <c r="P32" s="150"/>
      <c r="Q32" s="150"/>
      <c r="R32" s="150" t="s">
        <v>67</v>
      </c>
      <c r="S32" s="150"/>
      <c r="T32" s="150"/>
      <c r="U32" s="150"/>
    </row>
    <row r="33" spans="6:21" x14ac:dyDescent="0.25">
      <c r="F33" s="150" t="s">
        <v>28</v>
      </c>
      <c r="G33" s="150"/>
      <c r="H33" s="150"/>
      <c r="I33" s="150"/>
      <c r="J33" s="150"/>
      <c r="K33" s="150">
        <v>150</v>
      </c>
      <c r="L33" s="150"/>
      <c r="M33" s="150"/>
      <c r="N33" s="150"/>
      <c r="O33" s="150"/>
      <c r="P33" s="150"/>
      <c r="Q33" s="150"/>
      <c r="R33" s="150" t="s">
        <v>68</v>
      </c>
      <c r="S33" s="150"/>
      <c r="T33" s="150"/>
      <c r="U33" s="150"/>
    </row>
    <row r="34" spans="6:21" x14ac:dyDescent="0.25">
      <c r="F34" s="150" t="s">
        <v>29</v>
      </c>
      <c r="G34" s="150"/>
      <c r="H34" s="150"/>
      <c r="I34" s="150"/>
      <c r="J34" s="150"/>
      <c r="K34" s="150">
        <v>100</v>
      </c>
      <c r="L34" s="150"/>
      <c r="M34" s="150"/>
      <c r="N34" s="150"/>
      <c r="O34" s="150"/>
      <c r="P34" s="150"/>
      <c r="Q34" s="150"/>
      <c r="R34" s="150" t="s">
        <v>69</v>
      </c>
      <c r="S34" s="150"/>
      <c r="T34" s="150"/>
      <c r="U34" s="150"/>
    </row>
    <row r="35" spans="6:21" x14ac:dyDescent="0.25">
      <c r="F35" s="150" t="s">
        <v>30</v>
      </c>
      <c r="G35" s="150"/>
      <c r="H35" s="150"/>
      <c r="I35" s="150"/>
      <c r="J35" s="150"/>
      <c r="K35" s="150"/>
      <c r="L35" s="150"/>
      <c r="M35" s="150"/>
      <c r="N35" s="150"/>
      <c r="O35" s="150"/>
      <c r="P35" s="150"/>
      <c r="Q35" s="150"/>
      <c r="R35" s="150" t="s">
        <v>70</v>
      </c>
      <c r="S35" s="150"/>
      <c r="T35" s="150"/>
      <c r="U35" s="150"/>
    </row>
    <row r="36" spans="6:21" x14ac:dyDescent="0.25">
      <c r="F36" s="150" t="s">
        <v>31</v>
      </c>
      <c r="G36" s="150"/>
      <c r="H36" s="150"/>
      <c r="I36" s="150"/>
      <c r="J36" s="150"/>
      <c r="K36" s="150"/>
      <c r="L36" s="150"/>
      <c r="M36" s="150"/>
      <c r="N36" s="150"/>
      <c r="O36" s="150"/>
      <c r="P36" s="150"/>
      <c r="Q36" s="150"/>
      <c r="R36" s="150"/>
      <c r="S36" s="150"/>
      <c r="T36" s="150"/>
      <c r="U36" s="150"/>
    </row>
    <row r="37" spans="6:21" x14ac:dyDescent="0.25">
      <c r="F37" s="150" t="s">
        <v>32</v>
      </c>
      <c r="G37" s="150"/>
      <c r="H37" s="150"/>
      <c r="I37" s="150"/>
      <c r="J37" s="150"/>
      <c r="K37" s="150"/>
      <c r="L37" s="150"/>
      <c r="M37" s="150"/>
      <c r="N37" s="150"/>
      <c r="O37" s="150"/>
      <c r="P37" s="150"/>
      <c r="Q37" s="150"/>
      <c r="R37" s="150"/>
      <c r="S37" s="150"/>
      <c r="T37" s="150"/>
      <c r="U37" s="150"/>
    </row>
    <row r="38" spans="6:21" x14ac:dyDescent="0.25">
      <c r="F38" s="150"/>
      <c r="G38" s="150"/>
      <c r="H38" s="150"/>
      <c r="I38" s="150"/>
      <c r="J38" s="58" t="s">
        <v>39</v>
      </c>
      <c r="K38" s="150"/>
      <c r="L38" s="58" t="s">
        <v>84</v>
      </c>
      <c r="M38" s="150"/>
      <c r="N38" s="150"/>
      <c r="O38" s="150"/>
      <c r="P38" s="150"/>
      <c r="Q38" s="150"/>
      <c r="R38" s="150"/>
      <c r="S38" s="150"/>
      <c r="T38" s="150"/>
      <c r="U38" s="150"/>
    </row>
    <row r="39" spans="6:21" x14ac:dyDescent="0.25">
      <c r="F39" s="150"/>
      <c r="G39" s="150"/>
      <c r="H39" s="150"/>
      <c r="I39" s="150"/>
      <c r="J39" s="150" t="s">
        <v>40</v>
      </c>
      <c r="K39" s="150"/>
      <c r="L39" s="150" t="s">
        <v>85</v>
      </c>
      <c r="M39" s="150"/>
      <c r="N39" s="150"/>
      <c r="O39" s="150"/>
      <c r="P39" s="150"/>
      <c r="Q39" s="150"/>
      <c r="R39" s="150"/>
      <c r="S39" s="150"/>
      <c r="T39" s="150"/>
      <c r="U39" s="150"/>
    </row>
    <row r="40" spans="6:21" x14ac:dyDescent="0.25">
      <c r="F40" s="150"/>
      <c r="G40" s="150"/>
      <c r="H40" s="150"/>
      <c r="I40" s="150"/>
      <c r="J40" s="150" t="s">
        <v>80</v>
      </c>
      <c r="K40" s="150"/>
      <c r="L40" s="150" t="s">
        <v>86</v>
      </c>
      <c r="M40" s="150"/>
      <c r="N40" s="150"/>
      <c r="O40" s="150"/>
      <c r="P40" s="150"/>
      <c r="Q40" s="150"/>
      <c r="R40" s="150"/>
      <c r="S40" s="150"/>
      <c r="T40" s="150"/>
      <c r="U40" s="150"/>
    </row>
    <row r="41" spans="6:21" x14ac:dyDescent="0.25">
      <c r="F41" s="150"/>
      <c r="G41" s="150"/>
      <c r="H41" s="150"/>
      <c r="I41" s="150"/>
      <c r="J41" s="150" t="s">
        <v>41</v>
      </c>
      <c r="K41" s="150"/>
      <c r="L41" s="150" t="s">
        <v>87</v>
      </c>
      <c r="M41" s="150"/>
      <c r="N41" s="150"/>
      <c r="O41" s="150"/>
      <c r="P41" s="150"/>
      <c r="Q41" s="150"/>
      <c r="R41" s="150"/>
      <c r="S41" s="150"/>
      <c r="T41" s="150"/>
      <c r="U41" s="150"/>
    </row>
    <row r="42" spans="6:21" x14ac:dyDescent="0.25">
      <c r="F42" s="150"/>
      <c r="G42" s="150"/>
      <c r="H42" s="150"/>
      <c r="I42" s="150"/>
      <c r="J42" s="150" t="s">
        <v>81</v>
      </c>
      <c r="K42" s="150"/>
      <c r="L42" s="150"/>
      <c r="M42" s="150"/>
      <c r="N42" s="150"/>
      <c r="O42" s="150"/>
      <c r="P42" s="150"/>
      <c r="Q42" s="150"/>
      <c r="R42" s="150"/>
      <c r="S42" s="150"/>
      <c r="T42" s="150"/>
      <c r="U42" s="150"/>
    </row>
    <row r="43" spans="6:21" x14ac:dyDescent="0.25">
      <c r="F43" s="150"/>
      <c r="G43" s="150"/>
      <c r="H43" s="150"/>
      <c r="I43" s="150"/>
      <c r="J43" s="150" t="s">
        <v>82</v>
      </c>
      <c r="K43" s="150"/>
      <c r="L43" s="150"/>
      <c r="M43" s="150"/>
      <c r="N43" s="150"/>
      <c r="O43" s="150"/>
      <c r="P43" s="150"/>
      <c r="Q43" s="150"/>
      <c r="R43" s="150"/>
      <c r="S43" s="150"/>
      <c r="T43" s="150"/>
      <c r="U43" s="150"/>
    </row>
    <row r="44" spans="6:21" x14ac:dyDescent="0.25">
      <c r="F44" s="150"/>
      <c r="G44" s="150"/>
      <c r="H44" s="150"/>
      <c r="I44" s="150"/>
      <c r="J44" s="150" t="s">
        <v>83</v>
      </c>
      <c r="K44" s="150"/>
      <c r="L44" s="150"/>
      <c r="M44" s="150"/>
      <c r="N44" s="150"/>
      <c r="O44" s="150"/>
      <c r="P44" s="150"/>
      <c r="Q44" s="150"/>
      <c r="R44" s="150"/>
      <c r="S44" s="150"/>
      <c r="T44" s="150"/>
      <c r="U44" s="150"/>
    </row>
    <row r="45" spans="6:21" x14ac:dyDescent="0.25">
      <c r="F45" s="150"/>
      <c r="G45" s="150"/>
      <c r="H45" s="58" t="s">
        <v>89</v>
      </c>
      <c r="I45" s="150"/>
      <c r="J45" s="150"/>
      <c r="K45" s="150"/>
      <c r="L45" s="150"/>
      <c r="M45" s="150"/>
      <c r="N45" s="150"/>
      <c r="O45" s="150"/>
      <c r="P45" s="150"/>
      <c r="Q45" s="150"/>
      <c r="R45" s="150"/>
      <c r="S45" s="150"/>
      <c r="T45" s="150"/>
      <c r="U45" s="150"/>
    </row>
    <row r="46" spans="6:21" x14ac:dyDescent="0.25">
      <c r="F46" s="150"/>
      <c r="G46" s="150"/>
      <c r="H46" s="150" t="s">
        <v>42</v>
      </c>
      <c r="I46" s="150"/>
      <c r="J46" s="150"/>
      <c r="K46" s="150"/>
      <c r="L46" s="150"/>
      <c r="M46" s="150"/>
      <c r="N46" s="150"/>
      <c r="O46" s="150"/>
      <c r="P46" s="150"/>
      <c r="Q46" s="150"/>
      <c r="R46" s="150"/>
      <c r="S46" s="150"/>
      <c r="T46" s="150"/>
      <c r="U46" s="150"/>
    </row>
    <row r="47" spans="6:21" x14ac:dyDescent="0.25">
      <c r="F47" s="150"/>
      <c r="G47" s="150"/>
      <c r="H47" s="150" t="s">
        <v>133</v>
      </c>
      <c r="I47" s="150"/>
      <c r="J47" s="150"/>
      <c r="K47" s="150"/>
      <c r="L47" s="150"/>
      <c r="M47" s="150"/>
      <c r="N47" s="150"/>
      <c r="O47" s="150"/>
      <c r="P47" s="150"/>
      <c r="Q47" s="150"/>
      <c r="R47" s="150"/>
      <c r="S47" s="150"/>
      <c r="T47" s="150"/>
      <c r="U47" s="150"/>
    </row>
    <row r="48" spans="6:21" x14ac:dyDescent="0.25">
      <c r="F48" s="150"/>
      <c r="G48" s="150"/>
      <c r="H48" s="58" t="s">
        <v>90</v>
      </c>
      <c r="I48" s="150"/>
      <c r="J48" s="150"/>
      <c r="K48" s="150"/>
      <c r="L48" s="58" t="s">
        <v>92</v>
      </c>
      <c r="M48" s="150"/>
      <c r="N48" s="150"/>
      <c r="O48" s="58" t="s">
        <v>97</v>
      </c>
      <c r="P48" s="150"/>
      <c r="Q48" s="58" t="s">
        <v>98</v>
      </c>
      <c r="R48" s="150"/>
      <c r="S48" s="150"/>
      <c r="T48" s="150"/>
      <c r="U48" s="150"/>
    </row>
    <row r="49" spans="6:21" x14ac:dyDescent="0.25">
      <c r="F49" s="150"/>
      <c r="G49" s="150"/>
      <c r="H49" s="150" t="s">
        <v>95</v>
      </c>
      <c r="I49" s="150"/>
      <c r="J49" s="150"/>
      <c r="K49" s="150"/>
      <c r="L49" s="150" t="s">
        <v>113</v>
      </c>
      <c r="M49" s="150"/>
      <c r="N49" s="150"/>
      <c r="O49" s="150" t="s">
        <v>110</v>
      </c>
      <c r="P49" s="150"/>
      <c r="Q49" s="150" t="s">
        <v>107</v>
      </c>
      <c r="R49" s="150"/>
      <c r="S49" s="150"/>
      <c r="T49" s="150"/>
      <c r="U49" s="150"/>
    </row>
    <row r="50" spans="6:21" x14ac:dyDescent="0.25">
      <c r="F50" s="150"/>
      <c r="G50" s="150"/>
      <c r="H50" s="150" t="s">
        <v>112</v>
      </c>
      <c r="I50" s="150"/>
      <c r="J50" s="150"/>
      <c r="K50" s="150"/>
      <c r="L50" s="150" t="s">
        <v>93</v>
      </c>
      <c r="M50" s="150"/>
      <c r="N50" s="150"/>
      <c r="O50" s="150"/>
      <c r="P50" s="150"/>
      <c r="Q50" s="150"/>
      <c r="R50" s="150"/>
      <c r="S50" s="150"/>
      <c r="T50" s="150"/>
      <c r="U50" s="150"/>
    </row>
    <row r="51" spans="6:21" x14ac:dyDescent="0.25">
      <c r="F51" s="150"/>
      <c r="G51" s="150"/>
      <c r="H51" s="150" t="s">
        <v>98</v>
      </c>
      <c r="I51" s="150"/>
      <c r="J51" s="150"/>
      <c r="K51" s="150"/>
      <c r="L51" s="150" t="s">
        <v>108</v>
      </c>
      <c r="M51" s="150"/>
      <c r="N51" s="150"/>
      <c r="O51" s="150"/>
      <c r="P51" s="150"/>
      <c r="Q51" s="150"/>
      <c r="R51" s="150"/>
      <c r="S51" s="150"/>
      <c r="T51" s="150"/>
      <c r="U51" s="150"/>
    </row>
    <row r="52" spans="6:21" x14ac:dyDescent="0.25">
      <c r="F52" s="150"/>
      <c r="G52" s="150"/>
      <c r="H52" s="150" t="s">
        <v>91</v>
      </c>
      <c r="I52" s="150"/>
      <c r="J52" s="150"/>
      <c r="K52" s="150"/>
      <c r="L52" s="150" t="s">
        <v>105</v>
      </c>
      <c r="M52" s="150"/>
      <c r="N52" s="150"/>
      <c r="O52" s="150"/>
      <c r="P52" s="150"/>
      <c r="Q52" s="150"/>
      <c r="R52" s="150"/>
      <c r="S52" s="150"/>
      <c r="T52" s="150"/>
      <c r="U52" s="150"/>
    </row>
    <row r="53" spans="6:21" x14ac:dyDescent="0.25">
      <c r="F53" s="150"/>
      <c r="G53" s="150"/>
      <c r="H53" s="150" t="s">
        <v>100</v>
      </c>
      <c r="I53" s="150"/>
      <c r="J53" s="150"/>
      <c r="K53" s="150"/>
      <c r="L53" s="150" t="s">
        <v>109</v>
      </c>
      <c r="M53" s="150"/>
      <c r="N53" s="150"/>
      <c r="O53" s="150"/>
      <c r="P53" s="150"/>
      <c r="Q53" s="150"/>
      <c r="R53" s="150"/>
      <c r="S53" s="150"/>
      <c r="T53" s="150"/>
      <c r="U53" s="150"/>
    </row>
    <row r="54" spans="6:21" x14ac:dyDescent="0.25">
      <c r="F54" s="150"/>
      <c r="G54" s="150"/>
      <c r="H54" s="150" t="s">
        <v>102</v>
      </c>
      <c r="I54" s="150"/>
      <c r="J54" s="150"/>
      <c r="K54" s="150"/>
      <c r="L54" s="150"/>
      <c r="M54" s="150"/>
      <c r="N54" s="150"/>
      <c r="O54" s="150"/>
      <c r="P54" s="150"/>
      <c r="Q54" s="150"/>
      <c r="R54" s="150"/>
      <c r="S54" s="150"/>
      <c r="T54" s="150"/>
      <c r="U54" s="150"/>
    </row>
    <row r="55" spans="6:21" x14ac:dyDescent="0.25">
      <c r="F55" s="150"/>
      <c r="G55" s="150"/>
      <c r="H55" s="150"/>
      <c r="I55" s="150"/>
      <c r="J55" s="150"/>
      <c r="K55" s="150"/>
      <c r="L55" s="58" t="s">
        <v>91</v>
      </c>
      <c r="M55" s="150"/>
      <c r="N55" s="58" t="s">
        <v>100</v>
      </c>
      <c r="O55" s="58" t="s">
        <v>102</v>
      </c>
      <c r="P55" s="150"/>
      <c r="Q55" s="150"/>
      <c r="R55" s="150"/>
      <c r="S55" s="150"/>
      <c r="T55" s="150"/>
      <c r="U55" s="150"/>
    </row>
    <row r="56" spans="6:21" x14ac:dyDescent="0.25">
      <c r="F56" s="150"/>
      <c r="G56" s="150"/>
      <c r="H56" s="58" t="s">
        <v>115</v>
      </c>
      <c r="I56" s="150"/>
      <c r="J56" s="150"/>
      <c r="K56" s="150"/>
      <c r="L56" s="150" t="s">
        <v>106</v>
      </c>
      <c r="M56" s="150"/>
      <c r="N56" s="150" t="s">
        <v>101</v>
      </c>
      <c r="O56" s="150" t="s">
        <v>99</v>
      </c>
      <c r="P56" s="150"/>
      <c r="Q56" s="150"/>
      <c r="R56" s="150"/>
      <c r="S56" s="150"/>
      <c r="T56" s="150"/>
      <c r="U56" s="150"/>
    </row>
    <row r="57" spans="6:21" x14ac:dyDescent="0.25">
      <c r="F57" s="150"/>
      <c r="G57" s="150"/>
      <c r="H57" s="150" t="s">
        <v>116</v>
      </c>
      <c r="I57" s="150"/>
      <c r="J57" s="150"/>
      <c r="K57" s="150"/>
      <c r="L57" s="150" t="s">
        <v>104</v>
      </c>
      <c r="M57" s="150"/>
      <c r="N57" s="150"/>
      <c r="O57" s="150"/>
      <c r="P57" s="150"/>
      <c r="Q57" s="150"/>
      <c r="R57" s="150"/>
      <c r="S57" s="150"/>
      <c r="T57" s="150"/>
      <c r="U57" s="150"/>
    </row>
    <row r="58" spans="6:21" x14ac:dyDescent="0.25">
      <c r="F58" s="150"/>
      <c r="G58" s="150"/>
      <c r="H58" s="150" t="s">
        <v>117</v>
      </c>
      <c r="I58" s="150"/>
      <c r="J58" s="150"/>
      <c r="K58" s="150"/>
      <c r="L58" s="150" t="s">
        <v>111</v>
      </c>
      <c r="M58" s="150"/>
      <c r="N58" s="150"/>
      <c r="O58" s="150"/>
      <c r="P58" s="150"/>
      <c r="Q58" s="150"/>
      <c r="R58" s="150"/>
      <c r="S58" s="150"/>
      <c r="T58" s="150"/>
      <c r="U58" s="150"/>
    </row>
    <row r="59" spans="6:21" x14ac:dyDescent="0.25">
      <c r="F59" s="150"/>
      <c r="G59" s="150"/>
      <c r="H59" s="150"/>
      <c r="I59" s="150"/>
      <c r="J59" s="150"/>
      <c r="K59" s="150"/>
      <c r="L59" s="150" t="s">
        <v>94</v>
      </c>
      <c r="M59" s="150"/>
      <c r="N59" s="150"/>
      <c r="O59" s="150"/>
      <c r="P59" s="150"/>
      <c r="Q59" s="150"/>
      <c r="R59" s="58" t="s">
        <v>142</v>
      </c>
      <c r="S59" s="150"/>
      <c r="T59" s="150"/>
      <c r="U59" s="150"/>
    </row>
    <row r="60" spans="6:21" x14ac:dyDescent="0.25">
      <c r="F60" s="150"/>
      <c r="G60" s="150"/>
      <c r="H60" s="58" t="s">
        <v>119</v>
      </c>
      <c r="I60" s="58" t="s">
        <v>120</v>
      </c>
      <c r="J60" s="150"/>
      <c r="K60" s="150"/>
      <c r="L60" s="58" t="s">
        <v>124</v>
      </c>
      <c r="M60" s="150"/>
      <c r="N60" s="58" t="s">
        <v>128</v>
      </c>
      <c r="O60" s="150"/>
      <c r="P60" s="150"/>
      <c r="Q60" s="150"/>
      <c r="R60" s="150" t="s">
        <v>76</v>
      </c>
      <c r="S60" s="150"/>
      <c r="T60" s="150"/>
      <c r="U60" s="150"/>
    </row>
    <row r="61" spans="6:21" x14ac:dyDescent="0.25">
      <c r="F61" s="150"/>
      <c r="G61" s="150"/>
      <c r="H61" s="150" t="s">
        <v>118</v>
      </c>
      <c r="I61" s="150" t="s">
        <v>121</v>
      </c>
      <c r="J61" s="150"/>
      <c r="K61" s="150"/>
      <c r="L61" s="150" t="s">
        <v>125</v>
      </c>
      <c r="M61" s="150"/>
      <c r="N61" s="150" t="s">
        <v>129</v>
      </c>
      <c r="O61" s="150"/>
      <c r="P61" s="150"/>
      <c r="Q61" s="150"/>
      <c r="R61" s="150" t="s">
        <v>77</v>
      </c>
      <c r="S61" s="150"/>
      <c r="T61" s="150"/>
      <c r="U61" s="150"/>
    </row>
    <row r="62" spans="6:21" x14ac:dyDescent="0.25">
      <c r="F62" s="150"/>
      <c r="G62" s="150"/>
      <c r="H62" s="150" t="s">
        <v>40</v>
      </c>
      <c r="I62" s="150" t="s">
        <v>122</v>
      </c>
      <c r="J62" s="150"/>
      <c r="K62" s="150"/>
      <c r="L62" s="150" t="s">
        <v>126</v>
      </c>
      <c r="M62" s="150"/>
      <c r="N62" s="150" t="s">
        <v>130</v>
      </c>
      <c r="O62" s="150"/>
      <c r="P62" s="150"/>
      <c r="Q62" s="150"/>
      <c r="R62" s="150"/>
      <c r="S62" s="150"/>
      <c r="T62" s="150"/>
      <c r="U62" s="150"/>
    </row>
    <row r="63" spans="6:21" x14ac:dyDescent="0.25">
      <c r="F63" s="150"/>
      <c r="G63" s="150"/>
      <c r="H63" s="150"/>
      <c r="I63" s="150"/>
      <c r="J63" s="150"/>
      <c r="K63" s="150"/>
      <c r="L63" s="150" t="s">
        <v>127</v>
      </c>
      <c r="M63" s="150"/>
      <c r="N63" s="150"/>
      <c r="O63" s="150"/>
      <c r="P63" s="150"/>
      <c r="Q63" s="150"/>
      <c r="R63" s="150"/>
      <c r="S63" s="150"/>
      <c r="T63" s="150"/>
      <c r="U63" s="150"/>
    </row>
    <row r="64" spans="6:21" x14ac:dyDescent="0.25">
      <c r="F64" s="150"/>
      <c r="G64" s="150"/>
      <c r="H64" s="150"/>
      <c r="I64" s="150"/>
      <c r="J64" s="150"/>
      <c r="K64" s="150"/>
      <c r="L64" s="150"/>
      <c r="M64" s="150"/>
      <c r="N64" s="150"/>
      <c r="O64" s="150"/>
      <c r="P64" s="150"/>
      <c r="Q64" s="150"/>
      <c r="R64" s="150"/>
      <c r="S64" s="150"/>
      <c r="T64" s="150"/>
      <c r="U64" s="150"/>
    </row>
    <row r="65" spans="6:21" x14ac:dyDescent="0.25">
      <c r="F65" s="150"/>
      <c r="G65" s="150"/>
      <c r="H65" s="58" t="s">
        <v>147</v>
      </c>
      <c r="I65" s="150"/>
      <c r="J65" s="150"/>
      <c r="K65" s="150"/>
      <c r="L65" s="150"/>
      <c r="M65" s="150"/>
      <c r="N65" s="150"/>
      <c r="O65" s="150"/>
      <c r="P65" s="150"/>
      <c r="Q65" s="150"/>
      <c r="R65" s="150"/>
      <c r="S65" s="150"/>
      <c r="T65" s="150"/>
      <c r="U65" s="150"/>
    </row>
    <row r="66" spans="6:21" x14ac:dyDescent="0.25">
      <c r="F66" s="150"/>
      <c r="G66" s="150"/>
      <c r="H66" s="150" t="s">
        <v>40</v>
      </c>
      <c r="I66" s="150"/>
      <c r="J66" s="58" t="s">
        <v>151</v>
      </c>
      <c r="K66" s="58" t="s">
        <v>156</v>
      </c>
      <c r="L66" s="58" t="s">
        <v>163</v>
      </c>
      <c r="M66" s="58" t="s">
        <v>165</v>
      </c>
      <c r="N66" s="150"/>
      <c r="O66" s="58" t="s">
        <v>170</v>
      </c>
      <c r="P66" s="58" t="s">
        <v>174</v>
      </c>
      <c r="Q66" s="58" t="s">
        <v>181</v>
      </c>
      <c r="R66" s="150"/>
      <c r="S66" s="150"/>
      <c r="T66" s="150"/>
      <c r="U66" s="150"/>
    </row>
    <row r="67" spans="6:21" ht="30" x14ac:dyDescent="0.25">
      <c r="F67" s="150"/>
      <c r="G67" s="150"/>
      <c r="H67" s="150" t="s">
        <v>41</v>
      </c>
      <c r="I67" s="150"/>
      <c r="J67" s="150">
        <v>12.7</v>
      </c>
      <c r="K67" s="150">
        <v>1</v>
      </c>
      <c r="L67" s="150" t="s">
        <v>159</v>
      </c>
      <c r="M67" s="150" t="s">
        <v>166</v>
      </c>
      <c r="N67" s="150"/>
      <c r="O67" s="150" t="s">
        <v>171</v>
      </c>
      <c r="P67" s="153" t="s">
        <v>166</v>
      </c>
      <c r="Q67" s="150" t="s">
        <v>178</v>
      </c>
      <c r="R67" s="150"/>
      <c r="S67" s="150"/>
      <c r="T67" s="150"/>
      <c r="U67" s="150"/>
    </row>
    <row r="68" spans="6:21" x14ac:dyDescent="0.25">
      <c r="F68" s="150"/>
      <c r="G68" s="150"/>
      <c r="H68" s="150" t="s">
        <v>148</v>
      </c>
      <c r="I68" s="150"/>
      <c r="J68" s="150">
        <v>15.88</v>
      </c>
      <c r="K68" s="150">
        <v>2</v>
      </c>
      <c r="L68" s="150" t="s">
        <v>161</v>
      </c>
      <c r="M68" s="150" t="s">
        <v>167</v>
      </c>
      <c r="N68" s="150"/>
      <c r="O68" s="150" t="s">
        <v>172</v>
      </c>
      <c r="P68" s="150" t="s">
        <v>167</v>
      </c>
      <c r="Q68" s="150" t="s">
        <v>179</v>
      </c>
      <c r="R68" s="150"/>
      <c r="S68" s="150"/>
      <c r="T68" s="150"/>
      <c r="U68" s="150"/>
    </row>
    <row r="69" spans="6:21" x14ac:dyDescent="0.25">
      <c r="F69" s="150"/>
      <c r="G69" s="150"/>
      <c r="H69" s="150" t="s">
        <v>42</v>
      </c>
      <c r="I69" s="150"/>
      <c r="J69" s="150">
        <v>19.05</v>
      </c>
      <c r="K69" s="150">
        <v>3</v>
      </c>
      <c r="L69" s="150" t="s">
        <v>160</v>
      </c>
      <c r="M69" s="150" t="s">
        <v>168</v>
      </c>
      <c r="N69" s="150"/>
      <c r="O69" s="150" t="s">
        <v>173</v>
      </c>
      <c r="P69" s="150" t="s">
        <v>168</v>
      </c>
      <c r="Q69" s="150" t="s">
        <v>180</v>
      </c>
      <c r="R69" s="150"/>
      <c r="S69" s="150"/>
      <c r="T69" s="150"/>
      <c r="U69" s="150"/>
    </row>
    <row r="70" spans="6:21" x14ac:dyDescent="0.25">
      <c r="F70" s="150"/>
      <c r="G70" s="150"/>
      <c r="H70" s="150"/>
      <c r="I70" s="150"/>
      <c r="J70" s="150"/>
      <c r="K70" s="150">
        <v>4</v>
      </c>
      <c r="L70" s="150" t="s">
        <v>162</v>
      </c>
      <c r="M70" s="150" t="s">
        <v>169</v>
      </c>
      <c r="N70" s="150"/>
      <c r="O70" s="150"/>
      <c r="P70" s="150" t="s">
        <v>169</v>
      </c>
      <c r="Q70" s="150"/>
      <c r="R70" s="150"/>
      <c r="S70" s="150"/>
      <c r="T70" s="150"/>
      <c r="U70" s="150"/>
    </row>
    <row r="71" spans="6:21" x14ac:dyDescent="0.25">
      <c r="F71" s="150"/>
      <c r="G71" s="150"/>
      <c r="H71" s="150"/>
      <c r="I71" s="150"/>
      <c r="J71" s="150"/>
      <c r="K71" s="150">
        <v>8</v>
      </c>
      <c r="L71" s="150" t="s">
        <v>164</v>
      </c>
      <c r="M71" s="150" t="s">
        <v>176</v>
      </c>
      <c r="N71" s="150"/>
      <c r="O71" s="150"/>
      <c r="P71" s="150" t="s">
        <v>176</v>
      </c>
      <c r="Q71" s="150"/>
      <c r="R71" s="150"/>
      <c r="S71" s="150"/>
      <c r="T71" s="150"/>
      <c r="U71" s="150"/>
    </row>
    <row r="72" spans="6:21" x14ac:dyDescent="0.25">
      <c r="F72" s="150"/>
      <c r="G72" s="150"/>
      <c r="H72" s="150"/>
      <c r="I72" s="150"/>
      <c r="J72" s="150"/>
      <c r="K72" s="150">
        <v>12</v>
      </c>
      <c r="L72" s="150"/>
      <c r="M72" s="150" t="s">
        <v>183</v>
      </c>
      <c r="N72" s="150"/>
      <c r="O72" s="150"/>
      <c r="P72" s="150" t="s">
        <v>177</v>
      </c>
      <c r="Q72" s="150"/>
      <c r="R72" s="150"/>
      <c r="S72" s="150"/>
      <c r="T72" s="150"/>
      <c r="U72" s="150"/>
    </row>
    <row r="73" spans="6:21" x14ac:dyDescent="0.25">
      <c r="F73" s="150"/>
      <c r="G73" s="150"/>
      <c r="H73" s="150"/>
      <c r="I73" s="150"/>
      <c r="J73" s="150"/>
      <c r="K73" s="150">
        <v>16</v>
      </c>
      <c r="L73" s="150"/>
      <c r="M73" s="150"/>
      <c r="N73" s="150"/>
      <c r="O73" s="150"/>
      <c r="P73" s="150" t="s">
        <v>175</v>
      </c>
      <c r="Q73" s="150"/>
      <c r="R73" s="150"/>
      <c r="S73" s="150"/>
      <c r="T73" s="150"/>
      <c r="U73" s="150"/>
    </row>
    <row r="74" spans="6:21" x14ac:dyDescent="0.25">
      <c r="F74" s="150"/>
      <c r="G74" s="150"/>
      <c r="H74" s="150"/>
      <c r="I74" s="150"/>
      <c r="J74" s="150"/>
      <c r="K74" s="150">
        <v>20</v>
      </c>
      <c r="L74" s="150"/>
      <c r="M74" s="150"/>
      <c r="N74" s="150"/>
      <c r="O74" s="150"/>
      <c r="P74" s="150"/>
      <c r="Q74" s="150"/>
      <c r="R74" s="150"/>
      <c r="S74" s="150"/>
      <c r="T74" s="150"/>
      <c r="U74" s="150"/>
    </row>
    <row r="75" spans="6:21" x14ac:dyDescent="0.25">
      <c r="F75" s="150"/>
      <c r="G75" s="150"/>
      <c r="H75" s="150"/>
      <c r="I75" s="150"/>
      <c r="J75" s="150"/>
      <c r="K75" s="150">
        <v>24</v>
      </c>
      <c r="L75" s="150"/>
      <c r="M75" s="150"/>
      <c r="N75" s="150"/>
      <c r="O75" s="150"/>
      <c r="P75" s="150"/>
      <c r="Q75" s="150"/>
      <c r="R75" s="150"/>
      <c r="S75" s="150"/>
      <c r="T75" s="150"/>
      <c r="U75" s="150"/>
    </row>
    <row r="78" spans="6:21" x14ac:dyDescent="0.25">
      <c r="H78" s="1" t="s">
        <v>209</v>
      </c>
      <c r="P78" s="1" t="s">
        <v>214</v>
      </c>
      <c r="S78" s="1" t="s">
        <v>242</v>
      </c>
      <c r="T78" s="154" t="s">
        <v>295</v>
      </c>
    </row>
    <row r="79" spans="6:21" ht="60" x14ac:dyDescent="0.25">
      <c r="H79" s="154" t="s">
        <v>210</v>
      </c>
      <c r="P79" s="154" t="s">
        <v>215</v>
      </c>
      <c r="S79" s="154" t="s">
        <v>243</v>
      </c>
      <c r="T79" s="39" t="s">
        <v>296</v>
      </c>
    </row>
    <row r="80" spans="6:21" ht="15.75" x14ac:dyDescent="0.25">
      <c r="H80" s="154" t="s">
        <v>184</v>
      </c>
      <c r="P80" s="154" t="s">
        <v>216</v>
      </c>
      <c r="S80" s="154" t="s">
        <v>244</v>
      </c>
      <c r="T80" s="40" t="s">
        <v>297</v>
      </c>
    </row>
    <row r="81" spans="8:20" ht="30" x14ac:dyDescent="0.25">
      <c r="H81" s="154" t="s">
        <v>185</v>
      </c>
      <c r="S81" s="154" t="s">
        <v>204</v>
      </c>
      <c r="T81" s="39" t="s">
        <v>298</v>
      </c>
    </row>
    <row r="83" spans="8:20" x14ac:dyDescent="0.25">
      <c r="H83" s="1" t="s">
        <v>323</v>
      </c>
      <c r="J83" s="1" t="s">
        <v>326</v>
      </c>
      <c r="K83" s="1" t="s">
        <v>325</v>
      </c>
      <c r="L83" s="1" t="s">
        <v>330</v>
      </c>
      <c r="N83" s="1" t="s">
        <v>331</v>
      </c>
    </row>
    <row r="84" spans="8:20" x14ac:dyDescent="0.25">
      <c r="H84" s="154" t="s">
        <v>321</v>
      </c>
      <c r="J84" s="154">
        <v>10</v>
      </c>
      <c r="K84" s="154">
        <v>1</v>
      </c>
      <c r="L84" s="154">
        <v>10</v>
      </c>
      <c r="N84" s="154">
        <v>1.5</v>
      </c>
    </row>
    <row r="85" spans="8:20" x14ac:dyDescent="0.25">
      <c r="H85" s="154" t="s">
        <v>322</v>
      </c>
      <c r="J85" s="154">
        <v>20</v>
      </c>
      <c r="K85" s="154">
        <v>5</v>
      </c>
      <c r="L85" s="154">
        <v>16</v>
      </c>
    </row>
    <row r="86" spans="8:20" x14ac:dyDescent="0.25">
      <c r="J86" s="154">
        <v>30</v>
      </c>
      <c r="K86" s="154">
        <v>10</v>
      </c>
      <c r="L86" s="154">
        <v>25</v>
      </c>
    </row>
    <row r="87" spans="8:20" x14ac:dyDescent="0.25">
      <c r="J87" s="154">
        <v>40</v>
      </c>
    </row>
    <row r="88" spans="8:20" x14ac:dyDescent="0.25">
      <c r="J88" s="154">
        <v>50</v>
      </c>
    </row>
    <row r="89" spans="8:20" x14ac:dyDescent="0.25">
      <c r="J89" s="154">
        <v>60</v>
      </c>
    </row>
    <row r="90" spans="8:20" x14ac:dyDescent="0.25">
      <c r="J90" s="154">
        <v>70</v>
      </c>
    </row>
    <row r="91" spans="8:20" x14ac:dyDescent="0.25">
      <c r="J91" s="154">
        <v>80</v>
      </c>
    </row>
    <row r="92" spans="8:20" x14ac:dyDescent="0.25">
      <c r="J92" s="154">
        <v>90</v>
      </c>
    </row>
    <row r="93" spans="8:20" x14ac:dyDescent="0.25">
      <c r="J93" s="154">
        <v>100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35DF5-C1B0-49BA-BB54-88C7F5260B06}">
  <dimension ref="A1:N71"/>
  <sheetViews>
    <sheetView tabSelected="1" zoomScale="70" zoomScaleNormal="70" workbookViewId="0">
      <selection activeCell="F16" sqref="F16"/>
    </sheetView>
  </sheetViews>
  <sheetFormatPr defaultRowHeight="15" x14ac:dyDescent="0.25"/>
  <cols>
    <col min="1" max="1" width="1.5703125" customWidth="1"/>
    <col min="4" max="4" width="12.5703125" customWidth="1"/>
    <col min="5" max="5" width="92.28515625" customWidth="1"/>
    <col min="6" max="6" width="58" customWidth="1"/>
  </cols>
  <sheetData>
    <row r="1" spans="1:14" x14ac:dyDescent="0.25">
      <c r="A1" s="33"/>
      <c r="B1" s="33"/>
      <c r="C1" s="33"/>
      <c r="D1" s="33"/>
      <c r="F1" s="33"/>
      <c r="G1" s="33"/>
      <c r="H1" s="33"/>
      <c r="I1" s="33"/>
      <c r="J1" s="33"/>
      <c r="K1" s="33"/>
      <c r="L1" s="33"/>
      <c r="M1" s="33"/>
      <c r="N1" s="33"/>
    </row>
    <row r="2" spans="1:14" ht="18.75" x14ac:dyDescent="0.25">
      <c r="A2" s="33"/>
      <c r="B2" s="33"/>
      <c r="C2" s="33"/>
      <c r="D2" s="33"/>
      <c r="E2" s="183" t="s">
        <v>336</v>
      </c>
      <c r="F2" s="33"/>
      <c r="G2" s="33"/>
      <c r="H2" s="33"/>
      <c r="I2" s="33"/>
      <c r="J2" s="33"/>
      <c r="K2" s="33"/>
      <c r="L2" s="33"/>
      <c r="M2" s="33"/>
      <c r="N2" s="33"/>
    </row>
    <row r="3" spans="1:14" x14ac:dyDescent="0.25">
      <c r="A3" s="33"/>
      <c r="B3" s="33"/>
      <c r="C3" s="33"/>
      <c r="D3" s="33"/>
      <c r="E3" s="33"/>
      <c r="F3" s="33"/>
      <c r="G3" s="33"/>
      <c r="H3" s="33"/>
      <c r="I3" s="33"/>
      <c r="J3" s="33"/>
      <c r="K3" s="33"/>
      <c r="L3" s="33"/>
      <c r="M3" s="33"/>
      <c r="N3" s="33"/>
    </row>
    <row r="4" spans="1:14" x14ac:dyDescent="0.25">
      <c r="A4" s="33"/>
      <c r="B4" s="33"/>
      <c r="C4" s="33"/>
      <c r="D4" s="33"/>
      <c r="E4" s="33"/>
      <c r="F4" s="33"/>
      <c r="G4" s="33"/>
      <c r="H4" s="33"/>
      <c r="I4" s="33"/>
      <c r="J4" s="33"/>
      <c r="K4" s="33"/>
      <c r="L4" s="33"/>
      <c r="M4" s="33"/>
      <c r="N4" s="33"/>
    </row>
    <row r="5" spans="1:14" x14ac:dyDescent="0.25">
      <c r="A5" s="33"/>
      <c r="B5" s="33"/>
      <c r="C5" s="33"/>
      <c r="D5" s="33"/>
      <c r="F5" s="33"/>
      <c r="G5" s="33"/>
      <c r="H5" s="33"/>
      <c r="I5" s="33"/>
      <c r="J5" s="33"/>
      <c r="K5" s="33"/>
      <c r="L5" s="33"/>
      <c r="M5" s="33"/>
      <c r="N5" s="33"/>
    </row>
    <row r="6" spans="1:14" ht="15.75" x14ac:dyDescent="0.25">
      <c r="A6" s="33"/>
      <c r="B6" s="33"/>
      <c r="C6" s="33"/>
      <c r="D6" s="33"/>
      <c r="E6" s="177"/>
      <c r="F6" s="33"/>
      <c r="G6" s="33"/>
      <c r="H6" s="33"/>
      <c r="I6" s="33"/>
      <c r="J6" s="33"/>
      <c r="K6" s="33"/>
      <c r="L6" s="33"/>
      <c r="M6" s="33"/>
      <c r="N6" s="33"/>
    </row>
    <row r="7" spans="1:14" ht="15.75" x14ac:dyDescent="0.25">
      <c r="A7" s="33"/>
      <c r="B7" s="33"/>
      <c r="C7" s="33"/>
      <c r="D7" s="33"/>
      <c r="E7" s="177"/>
      <c r="F7" s="33"/>
      <c r="G7" s="33"/>
      <c r="H7" s="33"/>
      <c r="I7" s="33"/>
      <c r="J7" s="33"/>
      <c r="K7" s="33"/>
      <c r="L7" s="33"/>
      <c r="M7" s="33"/>
      <c r="N7" s="33"/>
    </row>
    <row r="8" spans="1:14" ht="15.75" x14ac:dyDescent="0.25">
      <c r="A8" s="33"/>
      <c r="B8" s="33"/>
      <c r="C8" s="33"/>
      <c r="D8" s="33"/>
      <c r="E8" s="177"/>
      <c r="F8" s="33"/>
      <c r="G8" s="33"/>
      <c r="H8" s="33"/>
      <c r="I8" s="33"/>
      <c r="J8" s="33"/>
      <c r="K8" s="33"/>
      <c r="L8" s="33"/>
      <c r="M8" s="33"/>
      <c r="N8" s="33"/>
    </row>
    <row r="9" spans="1:14" ht="15.75" x14ac:dyDescent="0.25">
      <c r="A9" s="33"/>
      <c r="B9" s="33"/>
      <c r="C9" s="33"/>
      <c r="D9" s="33"/>
      <c r="E9" s="177"/>
      <c r="F9" s="33"/>
      <c r="G9" s="33"/>
      <c r="H9" s="33"/>
      <c r="I9" s="33"/>
      <c r="J9" s="33"/>
      <c r="K9" s="33"/>
      <c r="L9" s="33"/>
      <c r="M9" s="33"/>
      <c r="N9" s="33"/>
    </row>
    <row r="10" spans="1:14" ht="15.75" x14ac:dyDescent="0.25">
      <c r="A10" s="33"/>
      <c r="B10" s="33"/>
      <c r="C10" s="33"/>
      <c r="D10" s="33"/>
      <c r="E10" s="177"/>
      <c r="F10" s="33"/>
      <c r="G10" s="33"/>
      <c r="H10" s="33"/>
      <c r="I10" s="33"/>
      <c r="J10" s="33"/>
      <c r="K10" s="33"/>
      <c r="L10" s="33"/>
      <c r="M10" s="33"/>
      <c r="N10" s="33"/>
    </row>
    <row r="11" spans="1:14" ht="15.75" x14ac:dyDescent="0.25">
      <c r="A11" s="33"/>
      <c r="B11" s="33"/>
      <c r="C11" s="33"/>
      <c r="D11" s="33"/>
      <c r="E11" s="177"/>
      <c r="F11" s="33"/>
      <c r="G11" s="33"/>
      <c r="H11" s="33"/>
      <c r="I11" s="33"/>
      <c r="J11" s="33"/>
      <c r="K11" s="33"/>
      <c r="L11" s="33"/>
      <c r="M11" s="33"/>
      <c r="N11" s="33"/>
    </row>
    <row r="12" spans="1:14" x14ac:dyDescent="0.25">
      <c r="A12" s="33"/>
      <c r="B12" s="33"/>
      <c r="C12" s="33"/>
      <c r="D12" s="33"/>
      <c r="E12" s="178"/>
      <c r="F12" s="33"/>
      <c r="G12" s="33"/>
      <c r="H12" s="33"/>
      <c r="I12" s="33"/>
      <c r="J12" s="33"/>
      <c r="K12" s="33"/>
      <c r="L12" s="33"/>
      <c r="M12" s="33"/>
      <c r="N12" s="33"/>
    </row>
    <row r="13" spans="1:14" ht="15.75" x14ac:dyDescent="0.25">
      <c r="A13" s="33"/>
      <c r="B13" s="33"/>
      <c r="C13" s="33"/>
      <c r="D13" s="33"/>
      <c r="E13" s="177"/>
      <c r="F13" s="33"/>
      <c r="G13" s="33"/>
      <c r="H13" s="33"/>
      <c r="I13" s="33"/>
      <c r="J13" s="33"/>
      <c r="K13" s="33"/>
      <c r="L13" s="33"/>
      <c r="M13" s="33"/>
      <c r="N13" s="33"/>
    </row>
    <row r="14" spans="1:14" x14ac:dyDescent="0.25">
      <c r="A14" s="33"/>
      <c r="B14" s="33"/>
      <c r="C14" s="33"/>
      <c r="D14" s="33"/>
      <c r="E14" s="179"/>
      <c r="F14" s="33"/>
      <c r="G14" s="33"/>
      <c r="H14" s="33"/>
      <c r="I14" s="33"/>
      <c r="J14" s="33"/>
      <c r="K14" s="33"/>
      <c r="L14" s="33"/>
      <c r="M14" s="33"/>
      <c r="N14" s="33"/>
    </row>
    <row r="15" spans="1:14" x14ac:dyDescent="0.25">
      <c r="A15" s="33"/>
      <c r="B15" s="33"/>
      <c r="C15" s="33"/>
      <c r="D15" s="33"/>
      <c r="E15" s="179"/>
      <c r="F15" s="33"/>
      <c r="G15" s="33"/>
      <c r="H15" s="33"/>
      <c r="I15" s="33"/>
      <c r="J15" s="33"/>
      <c r="K15" s="33"/>
      <c r="L15" s="33"/>
      <c r="M15" s="33"/>
      <c r="N15" s="33"/>
    </row>
    <row r="16" spans="1:14" ht="15.75" x14ac:dyDescent="0.25">
      <c r="A16" s="33"/>
      <c r="B16" s="33"/>
      <c r="C16" s="33"/>
      <c r="D16" s="33"/>
      <c r="E16" s="177"/>
      <c r="F16" s="33"/>
      <c r="G16" s="33"/>
      <c r="H16" s="33"/>
      <c r="I16" s="33"/>
      <c r="J16" s="33"/>
      <c r="K16" s="33"/>
      <c r="L16" s="33"/>
      <c r="M16" s="33"/>
      <c r="N16" s="33"/>
    </row>
    <row r="17" spans="1:14" ht="15.75" x14ac:dyDescent="0.25">
      <c r="A17" s="33"/>
      <c r="B17" s="33"/>
      <c r="C17" s="33"/>
      <c r="D17" s="33"/>
      <c r="E17" s="177"/>
      <c r="F17" s="33"/>
      <c r="G17" s="33"/>
      <c r="H17" s="33"/>
      <c r="I17" s="33"/>
      <c r="J17" s="33"/>
      <c r="K17" s="33"/>
      <c r="L17" s="33"/>
      <c r="M17" s="33"/>
      <c r="N17" s="33"/>
    </row>
    <row r="18" spans="1:14" ht="15.75" x14ac:dyDescent="0.25">
      <c r="A18" s="33"/>
      <c r="B18" s="33"/>
      <c r="C18" s="33"/>
      <c r="D18" s="33"/>
      <c r="E18" s="180"/>
      <c r="F18" s="33"/>
      <c r="G18" s="33"/>
      <c r="H18" s="33"/>
      <c r="I18" s="33"/>
      <c r="J18" s="33"/>
      <c r="K18" s="33"/>
      <c r="L18" s="33"/>
      <c r="M18" s="33"/>
      <c r="N18" s="33"/>
    </row>
    <row r="19" spans="1:14" ht="15.75" x14ac:dyDescent="0.25">
      <c r="A19" s="33"/>
      <c r="B19" s="33"/>
      <c r="C19" s="33"/>
      <c r="D19" s="33"/>
      <c r="E19" s="180"/>
      <c r="F19" s="33"/>
      <c r="G19" s="33"/>
      <c r="H19" s="33"/>
      <c r="I19" s="33"/>
      <c r="J19" s="33"/>
      <c r="K19" s="33"/>
      <c r="L19" s="33"/>
      <c r="M19" s="33"/>
      <c r="N19" s="33"/>
    </row>
    <row r="20" spans="1:14" ht="15.75" x14ac:dyDescent="0.25">
      <c r="A20" s="33"/>
      <c r="B20" s="33"/>
      <c r="C20" s="33"/>
      <c r="D20" s="33"/>
      <c r="E20" s="180"/>
      <c r="F20" s="33"/>
      <c r="G20" s="33"/>
      <c r="H20" s="33"/>
      <c r="I20" s="33"/>
      <c r="J20" s="33"/>
      <c r="K20" s="33"/>
      <c r="L20" s="33"/>
      <c r="M20" s="33"/>
      <c r="N20" s="33"/>
    </row>
    <row r="21" spans="1:14" ht="15.75" x14ac:dyDescent="0.25">
      <c r="A21" s="33"/>
      <c r="B21" s="33"/>
      <c r="C21" s="33"/>
      <c r="D21" s="33"/>
      <c r="E21" s="180"/>
      <c r="F21" s="33"/>
      <c r="G21" s="33"/>
      <c r="H21" s="33"/>
      <c r="I21" s="33"/>
      <c r="J21" s="33"/>
      <c r="K21" s="33"/>
      <c r="L21" s="33"/>
      <c r="M21" s="33"/>
      <c r="N21" s="33"/>
    </row>
    <row r="22" spans="1:14" ht="15.75" x14ac:dyDescent="0.25">
      <c r="A22" s="33"/>
      <c r="B22" s="33"/>
      <c r="C22" s="33"/>
      <c r="D22" s="33"/>
      <c r="E22" s="180"/>
      <c r="F22" s="33"/>
      <c r="G22" s="33"/>
      <c r="H22" s="33"/>
      <c r="I22" s="33"/>
      <c r="J22" s="33"/>
      <c r="K22" s="33"/>
      <c r="L22" s="33"/>
      <c r="M22" s="33"/>
      <c r="N22" s="33"/>
    </row>
    <row r="23" spans="1:14" ht="15.75" x14ac:dyDescent="0.25">
      <c r="A23" s="33"/>
      <c r="B23" s="33"/>
      <c r="C23" s="33"/>
      <c r="D23" s="33"/>
      <c r="E23" s="180"/>
      <c r="F23" s="33"/>
      <c r="G23" s="33"/>
      <c r="H23" s="33"/>
      <c r="I23" s="33"/>
      <c r="J23" s="33"/>
      <c r="K23" s="33"/>
      <c r="L23" s="33"/>
      <c r="M23" s="33"/>
      <c r="N23" s="33"/>
    </row>
    <row r="24" spans="1:14" ht="15.75" x14ac:dyDescent="0.25">
      <c r="A24" s="33"/>
      <c r="B24" s="33"/>
      <c r="C24" s="33"/>
      <c r="D24" s="33"/>
      <c r="E24" s="180"/>
      <c r="F24" s="33"/>
      <c r="G24" s="33"/>
      <c r="H24" s="33"/>
      <c r="I24" s="33"/>
      <c r="J24" s="33"/>
      <c r="K24" s="33"/>
      <c r="L24" s="33"/>
      <c r="M24" s="33"/>
      <c r="N24" s="33"/>
    </row>
    <row r="25" spans="1:14" ht="15.75" x14ac:dyDescent="0.25">
      <c r="A25" s="33"/>
      <c r="B25" s="33"/>
      <c r="C25" s="33"/>
      <c r="D25" s="33"/>
      <c r="E25" s="180"/>
      <c r="F25" s="33"/>
      <c r="G25" s="33"/>
      <c r="H25" s="33"/>
      <c r="I25" s="33"/>
      <c r="J25" s="33"/>
      <c r="K25" s="33"/>
      <c r="L25" s="33"/>
      <c r="M25" s="33"/>
      <c r="N25" s="33"/>
    </row>
    <row r="26" spans="1:14" ht="15.75" x14ac:dyDescent="0.25">
      <c r="A26" s="33"/>
      <c r="B26" s="33"/>
      <c r="C26" s="33"/>
      <c r="D26" s="33"/>
      <c r="E26" s="180"/>
      <c r="F26" s="33"/>
      <c r="G26" s="33"/>
      <c r="H26" s="33"/>
      <c r="I26" s="33"/>
      <c r="J26" s="33"/>
      <c r="K26" s="33"/>
      <c r="L26" s="33"/>
      <c r="M26" s="33"/>
      <c r="N26" s="33"/>
    </row>
    <row r="27" spans="1:14" ht="15.75" x14ac:dyDescent="0.25">
      <c r="A27" s="33"/>
      <c r="B27" s="33"/>
      <c r="C27" s="33"/>
      <c r="D27" s="33"/>
      <c r="E27" s="180"/>
      <c r="F27" s="33"/>
      <c r="G27" s="33"/>
      <c r="H27" s="33"/>
      <c r="I27" s="33"/>
      <c r="J27" s="33"/>
      <c r="K27" s="33"/>
      <c r="L27" s="33"/>
      <c r="M27" s="33"/>
      <c r="N27" s="33"/>
    </row>
    <row r="28" spans="1:14" ht="15.75" x14ac:dyDescent="0.25">
      <c r="A28" s="33"/>
      <c r="B28" s="33"/>
      <c r="C28" s="33"/>
      <c r="D28" s="33"/>
      <c r="E28" s="180"/>
      <c r="F28" s="33"/>
      <c r="G28" s="33"/>
      <c r="H28" s="33"/>
      <c r="I28" s="33"/>
      <c r="J28" s="33"/>
      <c r="K28" s="33"/>
      <c r="L28" s="33"/>
      <c r="M28" s="33"/>
      <c r="N28" s="33"/>
    </row>
    <row r="29" spans="1:14" ht="15.75" x14ac:dyDescent="0.25">
      <c r="A29" s="33"/>
      <c r="B29" s="33"/>
      <c r="C29" s="33"/>
      <c r="D29" s="33"/>
      <c r="E29" s="181"/>
      <c r="F29" s="33"/>
      <c r="G29" s="33"/>
      <c r="H29" s="33"/>
      <c r="I29" s="33"/>
      <c r="J29" s="33"/>
      <c r="K29" s="33"/>
      <c r="L29" s="33"/>
      <c r="M29" s="33"/>
      <c r="N29" s="33"/>
    </row>
    <row r="30" spans="1:14" x14ac:dyDescent="0.25">
      <c r="A30" s="33"/>
      <c r="B30" s="33"/>
      <c r="C30" s="33"/>
      <c r="D30" s="33"/>
      <c r="E30" s="182"/>
      <c r="F30" s="33"/>
      <c r="G30" s="33"/>
      <c r="H30" s="33"/>
      <c r="I30" s="33"/>
      <c r="J30" s="33"/>
      <c r="K30" s="33"/>
      <c r="L30" s="33"/>
      <c r="M30" s="33"/>
      <c r="N30" s="33"/>
    </row>
    <row r="31" spans="1:14" ht="15.75" x14ac:dyDescent="0.25">
      <c r="A31" s="33"/>
      <c r="B31" s="33"/>
      <c r="C31" s="33"/>
      <c r="D31" s="33"/>
      <c r="E31" s="181"/>
      <c r="F31" s="33"/>
      <c r="G31" s="33"/>
      <c r="H31" s="33"/>
      <c r="I31" s="33"/>
      <c r="J31" s="33"/>
      <c r="K31" s="33"/>
      <c r="L31" s="33"/>
      <c r="M31" s="33"/>
      <c r="N31" s="33"/>
    </row>
    <row r="32" spans="1:14" x14ac:dyDescent="0.25">
      <c r="A32" s="33"/>
      <c r="B32" s="33"/>
      <c r="C32" s="33"/>
      <c r="D32" s="33"/>
      <c r="E32" s="182"/>
      <c r="F32" s="33"/>
      <c r="G32" s="33"/>
      <c r="H32" s="33"/>
      <c r="I32" s="33"/>
      <c r="J32" s="33"/>
      <c r="K32" s="33"/>
      <c r="L32" s="33"/>
      <c r="M32" s="33"/>
      <c r="N32" s="33"/>
    </row>
    <row r="33" spans="1:14" x14ac:dyDescent="0.25">
      <c r="A33" s="33"/>
      <c r="B33" s="33"/>
      <c r="C33" s="33"/>
      <c r="D33" s="33"/>
      <c r="E33" s="33"/>
      <c r="F33" s="33"/>
      <c r="G33" s="33"/>
      <c r="H33" s="33"/>
      <c r="I33" s="33"/>
      <c r="J33" s="33"/>
      <c r="K33" s="33"/>
      <c r="L33" s="33"/>
      <c r="M33" s="33"/>
      <c r="N33" s="33"/>
    </row>
    <row r="34" spans="1:14" ht="15.75" x14ac:dyDescent="0.25">
      <c r="A34" s="33"/>
      <c r="B34" s="33"/>
      <c r="C34" s="33"/>
      <c r="D34" s="33"/>
      <c r="E34" s="181"/>
      <c r="F34" s="33"/>
      <c r="G34" s="33"/>
      <c r="H34" s="33"/>
      <c r="I34" s="33"/>
      <c r="J34" s="33"/>
      <c r="K34" s="33"/>
      <c r="L34" s="33"/>
      <c r="M34" s="33"/>
      <c r="N34" s="33"/>
    </row>
    <row r="35" spans="1:14" ht="15.75" x14ac:dyDescent="0.25">
      <c r="A35" s="33"/>
      <c r="B35" s="33"/>
      <c r="C35" s="33"/>
      <c r="D35" s="33"/>
      <c r="E35" s="180"/>
      <c r="F35" s="33"/>
      <c r="G35" s="33"/>
      <c r="H35" s="33"/>
      <c r="I35" s="33"/>
      <c r="J35" s="33"/>
      <c r="K35" s="33"/>
      <c r="L35" s="33"/>
      <c r="M35" s="33"/>
      <c r="N35" s="33"/>
    </row>
    <row r="36" spans="1:14" x14ac:dyDescent="0.25">
      <c r="A36" s="33"/>
      <c r="B36" s="33"/>
      <c r="C36" s="33"/>
      <c r="D36" s="33"/>
      <c r="E36" s="33"/>
      <c r="F36" s="33"/>
      <c r="G36" s="33"/>
      <c r="H36" s="33"/>
      <c r="I36" s="33"/>
      <c r="J36" s="33"/>
      <c r="K36" s="33"/>
      <c r="L36" s="33"/>
      <c r="M36" s="33"/>
      <c r="N36" s="33"/>
    </row>
    <row r="37" spans="1:14" x14ac:dyDescent="0.25">
      <c r="A37" s="33"/>
      <c r="B37" s="33"/>
      <c r="C37" s="33"/>
      <c r="D37" s="33"/>
      <c r="F37" s="33"/>
      <c r="G37" s="33"/>
      <c r="H37" s="33"/>
      <c r="I37" s="33"/>
      <c r="J37" s="33"/>
      <c r="K37" s="33"/>
      <c r="L37" s="33"/>
      <c r="M37" s="33"/>
      <c r="N37" s="33"/>
    </row>
    <row r="38" spans="1:14" x14ac:dyDescent="0.25">
      <c r="A38" s="33"/>
      <c r="B38" s="33"/>
      <c r="C38" s="33"/>
      <c r="D38" s="33"/>
      <c r="E38" s="33"/>
      <c r="F38" s="33"/>
      <c r="G38" s="33"/>
      <c r="H38" s="33"/>
      <c r="I38" s="33"/>
      <c r="J38" s="33"/>
      <c r="K38" s="33"/>
      <c r="L38" s="33"/>
      <c r="M38" s="33"/>
      <c r="N38" s="33"/>
    </row>
    <row r="39" spans="1:14" x14ac:dyDescent="0.25">
      <c r="A39" s="33"/>
      <c r="B39" s="33"/>
      <c r="C39" s="33"/>
      <c r="D39" s="33"/>
      <c r="E39" s="33"/>
      <c r="F39" s="33"/>
      <c r="G39" s="33"/>
      <c r="H39" s="33"/>
      <c r="I39" s="33"/>
      <c r="J39" s="33"/>
      <c r="K39" s="33"/>
      <c r="L39" s="33"/>
      <c r="M39" s="33"/>
      <c r="N39" s="33"/>
    </row>
    <row r="40" spans="1:14" x14ac:dyDescent="0.25">
      <c r="A40" s="33"/>
      <c r="B40" s="33"/>
      <c r="C40" s="33"/>
      <c r="D40" s="33"/>
      <c r="E40" s="33"/>
      <c r="F40" s="33"/>
      <c r="G40" s="33"/>
      <c r="H40" s="33"/>
      <c r="I40" s="33"/>
      <c r="J40" s="33"/>
      <c r="K40" s="33"/>
      <c r="L40" s="33"/>
      <c r="M40" s="33"/>
      <c r="N40" s="33"/>
    </row>
    <row r="41" spans="1:14" x14ac:dyDescent="0.25">
      <c r="A41" s="33"/>
      <c r="B41" s="33"/>
      <c r="C41" s="33"/>
      <c r="D41" s="33"/>
      <c r="E41" s="33"/>
      <c r="F41" s="33"/>
      <c r="G41" s="33"/>
      <c r="H41" s="33"/>
      <c r="I41" s="33"/>
      <c r="J41" s="33"/>
      <c r="K41" s="33"/>
      <c r="L41" s="33"/>
      <c r="M41" s="33"/>
      <c r="N41" s="33"/>
    </row>
    <row r="42" spans="1:14" x14ac:dyDescent="0.25">
      <c r="A42" s="33"/>
      <c r="B42" s="33"/>
      <c r="C42" s="33"/>
      <c r="D42" s="33"/>
      <c r="E42" s="33"/>
      <c r="F42" s="33"/>
      <c r="G42" s="33"/>
      <c r="H42" s="33"/>
      <c r="I42" s="33"/>
      <c r="J42" s="33"/>
      <c r="K42" s="33"/>
      <c r="L42" s="33"/>
      <c r="M42" s="33"/>
      <c r="N42" s="33"/>
    </row>
    <row r="43" spans="1:14" x14ac:dyDescent="0.25">
      <c r="A43" s="33"/>
      <c r="B43" s="33"/>
      <c r="C43" s="33"/>
      <c r="D43" s="33"/>
      <c r="E43" s="33"/>
      <c r="F43" s="33"/>
      <c r="G43" s="33"/>
      <c r="H43" s="33"/>
      <c r="I43" s="33"/>
      <c r="J43" s="33"/>
      <c r="K43" s="33"/>
      <c r="L43" s="33"/>
      <c r="M43" s="33"/>
      <c r="N43" s="33"/>
    </row>
    <row r="44" spans="1:14" x14ac:dyDescent="0.25">
      <c r="A44" s="33"/>
      <c r="B44" s="33"/>
      <c r="C44" s="33"/>
      <c r="D44" s="33"/>
      <c r="E44" s="33"/>
      <c r="F44" s="33"/>
      <c r="G44" s="33"/>
      <c r="H44" s="33"/>
      <c r="I44" s="33"/>
      <c r="J44" s="33"/>
      <c r="K44" s="33"/>
      <c r="L44" s="33"/>
      <c r="M44" s="33"/>
      <c r="N44" s="33"/>
    </row>
    <row r="45" spans="1:14" x14ac:dyDescent="0.25">
      <c r="A45" s="33"/>
      <c r="B45" s="33"/>
      <c r="C45" s="33"/>
      <c r="D45" s="33"/>
      <c r="E45" s="33"/>
      <c r="F45" s="33"/>
      <c r="G45" s="33"/>
      <c r="H45" s="33"/>
      <c r="I45" s="33"/>
      <c r="J45" s="33"/>
      <c r="K45" s="33"/>
      <c r="L45" s="33"/>
      <c r="M45" s="33"/>
      <c r="N45" s="33"/>
    </row>
    <row r="46" spans="1:14" x14ac:dyDescent="0.25">
      <c r="A46" s="33"/>
      <c r="B46" s="33"/>
      <c r="C46" s="33"/>
      <c r="D46" s="33"/>
      <c r="E46" s="33"/>
      <c r="F46" s="33"/>
      <c r="G46" s="33"/>
      <c r="H46" s="33"/>
      <c r="I46" s="33"/>
      <c r="J46" s="33"/>
      <c r="K46" s="33"/>
      <c r="L46" s="33"/>
      <c r="M46" s="33"/>
      <c r="N46" s="33"/>
    </row>
    <row r="47" spans="1:14" x14ac:dyDescent="0.25">
      <c r="A47" s="33"/>
      <c r="B47" s="33"/>
      <c r="C47" s="33"/>
      <c r="D47" s="33"/>
      <c r="E47" s="33"/>
      <c r="F47" s="33"/>
      <c r="G47" s="33"/>
      <c r="H47" s="33"/>
      <c r="I47" s="33"/>
      <c r="J47" s="33"/>
      <c r="K47" s="33"/>
      <c r="L47" s="33"/>
      <c r="M47" s="33"/>
      <c r="N47" s="33"/>
    </row>
    <row r="48" spans="1:14" x14ac:dyDescent="0.25">
      <c r="A48" s="33"/>
      <c r="B48" s="33"/>
      <c r="C48" s="33"/>
      <c r="D48" s="33"/>
      <c r="E48" s="33"/>
      <c r="F48" s="33"/>
      <c r="G48" s="33"/>
      <c r="H48" s="33"/>
      <c r="I48" s="33"/>
      <c r="J48" s="33"/>
      <c r="K48" s="33"/>
      <c r="L48" s="33"/>
      <c r="M48" s="33"/>
      <c r="N48" s="33"/>
    </row>
    <row r="49" spans="1:14" x14ac:dyDescent="0.25">
      <c r="A49" s="33"/>
      <c r="B49" s="33"/>
      <c r="C49" s="33"/>
      <c r="D49" s="33"/>
      <c r="E49" s="33"/>
      <c r="F49" s="33"/>
      <c r="G49" s="33"/>
      <c r="H49" s="33"/>
      <c r="I49" s="33"/>
      <c r="J49" s="33"/>
      <c r="K49" s="33"/>
      <c r="L49" s="33"/>
      <c r="M49" s="33"/>
      <c r="N49" s="33"/>
    </row>
    <row r="50" spans="1:14" x14ac:dyDescent="0.25">
      <c r="A50" s="33"/>
      <c r="B50" s="33"/>
      <c r="C50" s="33"/>
      <c r="D50" s="33"/>
      <c r="E50" s="33"/>
      <c r="F50" s="33"/>
      <c r="G50" s="33"/>
      <c r="H50" s="33"/>
      <c r="I50" s="33"/>
      <c r="J50" s="33"/>
      <c r="K50" s="33"/>
      <c r="L50" s="33"/>
      <c r="M50" s="33"/>
      <c r="N50" s="33"/>
    </row>
    <row r="51" spans="1:14" x14ac:dyDescent="0.25">
      <c r="A51" s="33"/>
      <c r="B51" s="33"/>
      <c r="C51" s="33"/>
      <c r="D51" s="33"/>
      <c r="E51" s="33"/>
      <c r="F51" s="33"/>
      <c r="G51" s="33"/>
      <c r="H51" s="33"/>
      <c r="I51" s="33"/>
      <c r="J51" s="33"/>
    </row>
    <row r="52" spans="1:14" x14ac:dyDescent="0.25">
      <c r="A52" s="33"/>
      <c r="B52" s="33"/>
      <c r="C52" s="33"/>
      <c r="D52" s="33"/>
      <c r="E52" s="33"/>
      <c r="F52" s="33"/>
      <c r="G52" s="33"/>
      <c r="H52" s="33"/>
      <c r="I52" s="33"/>
      <c r="J52" s="33"/>
    </row>
    <row r="53" spans="1:14" x14ac:dyDescent="0.25">
      <c r="A53" s="33"/>
      <c r="B53" s="33"/>
      <c r="C53" s="33"/>
      <c r="D53" s="33"/>
      <c r="E53" s="33"/>
      <c r="F53" s="33"/>
      <c r="G53" s="33"/>
      <c r="H53" s="33"/>
      <c r="I53" s="33"/>
      <c r="J53" s="33"/>
    </row>
    <row r="54" spans="1:14" x14ac:dyDescent="0.25">
      <c r="A54" s="33"/>
      <c r="B54" s="33"/>
      <c r="C54" s="33"/>
      <c r="D54" s="33"/>
      <c r="E54" s="33"/>
      <c r="F54" s="33"/>
      <c r="G54" s="33"/>
      <c r="H54" s="33"/>
      <c r="I54" s="33"/>
      <c r="J54" s="33"/>
    </row>
    <row r="55" spans="1:14" x14ac:dyDescent="0.25">
      <c r="A55" s="33"/>
      <c r="B55" s="33"/>
      <c r="C55" s="33"/>
      <c r="D55" s="33"/>
      <c r="E55" s="33"/>
      <c r="F55" s="33"/>
      <c r="G55" s="33"/>
      <c r="H55" s="33"/>
      <c r="I55" s="33"/>
      <c r="J55" s="33"/>
    </row>
    <row r="56" spans="1:14" x14ac:dyDescent="0.25">
      <c r="A56" s="33"/>
      <c r="B56" s="33"/>
      <c r="C56" s="33"/>
      <c r="D56" s="33"/>
      <c r="E56" s="33"/>
      <c r="F56" s="33"/>
      <c r="G56" s="33"/>
      <c r="H56" s="33"/>
      <c r="I56" s="33"/>
      <c r="J56" s="33"/>
    </row>
    <row r="57" spans="1:14" x14ac:dyDescent="0.25">
      <c r="A57" s="33"/>
      <c r="B57" s="33"/>
      <c r="C57" s="33"/>
      <c r="D57" s="33"/>
      <c r="E57" s="33"/>
      <c r="F57" s="33"/>
      <c r="G57" s="33"/>
      <c r="H57" s="33"/>
      <c r="I57" s="33"/>
      <c r="J57" s="33"/>
    </row>
    <row r="58" spans="1:14" x14ac:dyDescent="0.25">
      <c r="A58" s="33"/>
      <c r="B58" s="33"/>
      <c r="C58" s="33"/>
      <c r="D58" s="33"/>
      <c r="F58" s="33"/>
      <c r="G58" s="33"/>
      <c r="H58" s="33"/>
      <c r="I58" s="33"/>
      <c r="J58" s="33"/>
    </row>
    <row r="59" spans="1:14" x14ac:dyDescent="0.25">
      <c r="A59" s="33"/>
      <c r="B59" s="33"/>
      <c r="C59" s="33"/>
      <c r="D59" s="33"/>
      <c r="E59" s="33"/>
      <c r="F59" s="33"/>
      <c r="G59" s="33"/>
      <c r="H59" s="33"/>
      <c r="I59" s="33"/>
      <c r="J59" s="33"/>
    </row>
    <row r="60" spans="1:14" x14ac:dyDescent="0.25">
      <c r="A60" s="33"/>
      <c r="B60" s="33"/>
      <c r="C60" s="33"/>
      <c r="D60" s="33"/>
      <c r="E60" s="33"/>
      <c r="F60" s="33"/>
      <c r="G60" s="33"/>
      <c r="H60" s="33"/>
      <c r="I60" s="33"/>
      <c r="J60" s="33"/>
    </row>
    <row r="61" spans="1:14" x14ac:dyDescent="0.25">
      <c r="A61" s="33"/>
      <c r="B61" s="33"/>
      <c r="C61" s="33"/>
      <c r="D61" s="33"/>
      <c r="E61" s="33"/>
      <c r="F61" s="33"/>
      <c r="G61" s="33"/>
      <c r="H61" s="33"/>
      <c r="I61" s="33"/>
      <c r="J61" s="33"/>
    </row>
    <row r="62" spans="1:14" ht="15.75" x14ac:dyDescent="0.25">
      <c r="A62" s="33"/>
      <c r="B62" s="33"/>
      <c r="C62" s="33"/>
      <c r="D62" s="33"/>
      <c r="E62" s="180"/>
      <c r="F62" s="33"/>
      <c r="G62" s="33"/>
      <c r="H62" s="33"/>
      <c r="I62" s="33"/>
      <c r="J62" s="33"/>
    </row>
    <row r="63" spans="1:14" x14ac:dyDescent="0.25">
      <c r="A63" s="33"/>
      <c r="B63" s="33"/>
      <c r="C63" s="33"/>
      <c r="D63" s="33"/>
      <c r="E63" s="33"/>
      <c r="F63" s="33"/>
      <c r="G63" s="33"/>
      <c r="H63" s="33"/>
      <c r="I63" s="33"/>
      <c r="J63" s="33"/>
    </row>
    <row r="64" spans="1:14" x14ac:dyDescent="0.25">
      <c r="A64" s="33"/>
      <c r="B64" s="33"/>
      <c r="C64" s="33"/>
      <c r="D64" s="33"/>
      <c r="E64" s="33"/>
      <c r="F64" s="33"/>
      <c r="G64" s="33"/>
      <c r="H64" s="33"/>
      <c r="I64" s="33"/>
      <c r="J64" s="33"/>
    </row>
    <row r="65" spans="2:6" x14ac:dyDescent="0.25">
      <c r="B65" s="33"/>
      <c r="C65" s="33"/>
      <c r="D65" s="33"/>
      <c r="E65" s="33"/>
      <c r="F65" s="33"/>
    </row>
    <row r="66" spans="2:6" x14ac:dyDescent="0.25">
      <c r="B66" s="33"/>
      <c r="C66" s="33"/>
      <c r="D66" s="33"/>
      <c r="E66" s="33"/>
      <c r="F66" s="33"/>
    </row>
    <row r="67" spans="2:6" x14ac:dyDescent="0.25">
      <c r="B67" s="33"/>
      <c r="C67" s="33"/>
      <c r="D67" s="33"/>
      <c r="E67" s="33"/>
      <c r="F67" s="33"/>
    </row>
    <row r="68" spans="2:6" x14ac:dyDescent="0.25">
      <c r="B68" s="33"/>
      <c r="C68" s="33"/>
      <c r="D68" s="33"/>
      <c r="E68" s="33"/>
      <c r="F68" s="33"/>
    </row>
    <row r="69" spans="2:6" x14ac:dyDescent="0.25">
      <c r="B69" s="33"/>
      <c r="C69" s="33"/>
      <c r="D69" s="33"/>
      <c r="E69" s="33"/>
      <c r="F69" s="33"/>
    </row>
    <row r="70" spans="2:6" x14ac:dyDescent="0.25">
      <c r="B70" s="33"/>
      <c r="C70" s="33"/>
      <c r="D70" s="33"/>
      <c r="E70" s="33"/>
      <c r="F70" s="33"/>
    </row>
    <row r="71" spans="2:6" x14ac:dyDescent="0.25">
      <c r="B71" s="33"/>
      <c r="C71" s="33"/>
      <c r="D71" s="33"/>
      <c r="E71" s="33"/>
      <c r="F71" s="33"/>
    </row>
  </sheetData>
  <sheetProtection algorithmName="SHA-512" hashValue="O9eD1nfhSlD6kv8dPhUemc1bAFxUbxrCjv1Zi/aIFim/541JYtHUwgx83YcUmjg7mNnXDYRmgRi5cSs72Q7jtA==" saltValue="a9uQR/zADrQBReZNnpyfH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topLeftCell="B1" zoomScale="70" zoomScaleNormal="70" workbookViewId="0">
      <selection activeCell="F7" sqref="F7"/>
    </sheetView>
  </sheetViews>
  <sheetFormatPr defaultRowHeight="15" x14ac:dyDescent="0.25"/>
  <cols>
    <col min="1" max="1" width="6.140625" style="34" customWidth="1"/>
    <col min="2" max="2" width="6.7109375" style="34" customWidth="1"/>
    <col min="3" max="3" width="5.7109375" style="34" customWidth="1"/>
    <col min="4" max="4" width="6.28515625" style="34" customWidth="1"/>
    <col min="5" max="5" width="2.7109375" style="34" customWidth="1"/>
    <col min="6" max="6" width="124.140625" style="78" customWidth="1"/>
    <col min="7" max="7" width="22" style="78" customWidth="1"/>
    <col min="8" max="8" width="41.7109375" style="78" customWidth="1"/>
    <col min="9" max="9" width="19.140625" style="78" customWidth="1"/>
    <col min="10" max="10" width="14.28515625" style="78" customWidth="1"/>
    <col min="11" max="11" width="9.140625" style="34"/>
    <col min="12" max="16384" width="9.140625" style="78"/>
  </cols>
  <sheetData>
    <row r="1" spans="5:10" x14ac:dyDescent="0.25">
      <c r="G1" s="34"/>
      <c r="H1" s="34"/>
      <c r="I1" s="34"/>
      <c r="J1" s="34"/>
    </row>
    <row r="2" spans="5:10" ht="24.75" x14ac:dyDescent="0.3">
      <c r="E2" s="91"/>
      <c r="F2" s="172" t="s">
        <v>20</v>
      </c>
      <c r="G2" s="91"/>
      <c r="H2" s="91"/>
      <c r="I2" s="91"/>
      <c r="J2" s="91"/>
    </row>
    <row r="3" spans="5:10" x14ac:dyDescent="0.25">
      <c r="E3" s="91"/>
      <c r="F3" s="87"/>
      <c r="G3" s="91"/>
      <c r="H3" s="91"/>
      <c r="I3" s="91"/>
      <c r="J3" s="91"/>
    </row>
    <row r="4" spans="5:10" s="34" customFormat="1" x14ac:dyDescent="0.25">
      <c r="E4" s="91"/>
      <c r="F4" s="91"/>
      <c r="G4" s="91"/>
      <c r="H4" s="91"/>
      <c r="I4" s="91"/>
      <c r="J4" s="91"/>
    </row>
    <row r="5" spans="5:10" s="34" customFormat="1" x14ac:dyDescent="0.25">
      <c r="E5" s="91"/>
      <c r="F5" s="91"/>
      <c r="G5" s="91"/>
      <c r="H5" s="91"/>
      <c r="I5" s="91"/>
      <c r="J5" s="91"/>
    </row>
    <row r="6" spans="5:10" ht="19.5" customHeight="1" x14ac:dyDescent="0.3">
      <c r="E6" s="91"/>
      <c r="F6" s="84" t="s">
        <v>311</v>
      </c>
      <c r="G6" s="91"/>
      <c r="H6" s="91"/>
      <c r="I6" s="91"/>
      <c r="J6" s="91"/>
    </row>
    <row r="7" spans="5:10" ht="36" customHeight="1" thickBot="1" x14ac:dyDescent="0.35">
      <c r="E7" s="91"/>
      <c r="F7" s="79" t="s">
        <v>14</v>
      </c>
      <c r="G7" s="91"/>
      <c r="H7" s="173" t="s">
        <v>13</v>
      </c>
      <c r="I7" s="91"/>
      <c r="J7" s="91"/>
    </row>
    <row r="8" spans="5:10" s="34" customFormat="1" ht="84" customHeight="1" thickTop="1" x14ac:dyDescent="0.25">
      <c r="E8" s="91"/>
      <c r="F8" s="91"/>
      <c r="G8" s="91"/>
      <c r="H8" s="90" t="str">
        <f>IF(F7="Horizontal strip electrode","Resistance of two sides of the square perimeter electrode can also be found from the formula for the resistance of a horizontal strip electrode","")</f>
        <v/>
      </c>
      <c r="I8" s="91"/>
      <c r="J8" s="91"/>
    </row>
    <row r="9" spans="5:10" s="34" customFormat="1" ht="24" hidden="1" customHeight="1" x14ac:dyDescent="0.25">
      <c r="E9" s="91"/>
      <c r="F9" s="91"/>
      <c r="G9" s="91"/>
      <c r="H9" s="91"/>
      <c r="I9" s="91"/>
      <c r="J9" s="91"/>
    </row>
    <row r="10" spans="5:10" s="34" customFormat="1" hidden="1" x14ac:dyDescent="0.25">
      <c r="E10" s="91"/>
      <c r="F10" s="91"/>
      <c r="G10" s="91"/>
      <c r="H10" s="91"/>
      <c r="I10" s="91"/>
      <c r="J10" s="91"/>
    </row>
    <row r="11" spans="5:10" ht="17.25" customHeight="1" x14ac:dyDescent="0.3">
      <c r="E11" s="91"/>
      <c r="F11" s="84" t="s">
        <v>38</v>
      </c>
      <c r="G11" s="85" t="s">
        <v>18</v>
      </c>
      <c r="H11" s="91"/>
      <c r="I11" s="86" t="s">
        <v>19</v>
      </c>
      <c r="J11" s="87"/>
    </row>
    <row r="12" spans="5:10" ht="30" customHeight="1" x14ac:dyDescent="0.25">
      <c r="E12" s="91"/>
      <c r="F12" s="144" t="str">
        <f>IF(F7="Plate","ρ   the resistivity of the soil (assumed uniform) in ohm metres (Ωm)",IF(F7="Rod electrode","ρ   the resistivity of the soil (assumed uniform), in ohm metres (Ωm)",IF(F7="Parallel connection of aligned rods","ρ   the resistivity of the soil (assumed uniform), in ohm metres (Ωm)",IF(F7="Strip straight run or round conductor electrodes","ρ   the resistivity of the soil in ohm metres (Ωm)",IF(F7="Mesh","ρ    the soil resistivity, in ohm metres (Ωm)",IF(F7="Electrode encased in low resistivity material (eg. conducting concrete)", "ρ     the resistivity of the soil (assumed uniform), in ohm metres (Ωm)",IF(F7="Three rods at the vertices of an equilateral triangle","ρ     the resistivity the soil (assumed uniform), in ohm metres (Ωm)",IF(F7="Two strips set at right angles to each other meeting at one corner","ρ      the resistivity of the soil in ohm metres (Ωm)",IF(F7="Three strips set at 120° meeting at the star point all of equal length","ρ      the soil resistivity, in ohm metres (Ωm)",IF(F7="Four strips set in a cruciform","ρ      the soil resistivity, in ohm metres (Ωm)",IF(F7="Vertical electrodes arranged in a hollow square","R1      the resistance of one footing in ohms (Ω)",IF(F7="Reinforced concrete foundation","ρ      the soil resistivity, in ohm metres (Ωm)",IF(F7="Horizontal strip electrode","ρ      the soil resistivity, in ohm metres (Ωm)")))))))))))))</f>
        <v>ρ      the soil resistivity, in ohm metres (Ωm)</v>
      </c>
      <c r="G12" s="145">
        <v>30</v>
      </c>
      <c r="H12" s="91"/>
      <c r="I12" s="89">
        <f>IF(F7="Plate",(G12/4)*SQRT(PI()/G13),IF(F7="Rod electrode",(LN(8*G13/G14)-1)*(G12/(2*PI()*G13)),IF(F7="Parallel connection of aligned rods",(LN(8*G13/G14)-1+(G13/G16)*LN(1.78*G15/2.718))*(1/G15)*(G12/(2*PI()*G13)),IF(F7="Mesh",0.443*(G12/(SQRT(G13)))+(G12/G14),IF(F7="Electrode encased in low resistivity material (eg. conducting concrete)",(1/(2*PI()*G14))*((G12-G13)*(LN(8*G14/G15)-1)+G13*(LN(8*G14/G15)-1)),IF(F7="Three rods at the vertices of an equilateral triangle",(1/3)*(2*(LN(8*G13/G14)-1)-(1)+(2*G13*G15)),IF(F7="Two strips set at right angles to each other meeting at one corner",LN(POWER(G13,2)/(1.27*G14*G15))*(G12/(2*PI()*G13)),IF(F7="Three strips set at 120° meeting at the star point all of equal length",LN(POWER(G13,2)/(0.767*G14*G15))*(G12/(2*PI()*G13)),IF(F7="Four strips set in a cruciform",LN(POWER(G13,2)/(0.21767*G14*G15))*(G12/(2*PI()*G13)),IF(F7="Vertical electrodes arranged in a hollow square",(G12/G13)*(1+((G14*H16)/(2*PI()*G12*G15))),IF(AND(F7="Strip straight run or round conductor electrodes",G16=1),LN(POWER(G13,2)/(1.85*G14*G15))*(G12/(2*PI()*G13)),IF(AND(F7="Strip straight run or round conductor electrodes",G16=2),(LN(POWER(G13,2)/(1.85*G14*G15))*(G12/(2*PI()*G13)))*(0.5+POWER((0.078*(G17/G13)),-0.307)),IF(AND(F7="Strip straight run or round conductor electrodes",G16=3),(LN(POWER(G13,2)/(1.85*G14*G15))*(G12/(2*PI()*G13)))*(0.33+POWER((0.071*(G17/G13)),-0.408)),IF(AND(F7="Strip straight run or round conductor electrodes",G16=4),(LN(POWER(G13,2)/(1.85*G14*G15))*(G12/(2*PI()*G13)))*(0.25+POWER((0.067*(G17/G13)),-0.451)),IF(F7="Reinforced concrete foundation",(1/(2*PI()*G14))*((G13-G12)*(LN(1+(G15/G19)))+G12*(LN(2*G14/G19))),IF(F7="Horizontal strip electrode",(G17+LN(2*G13*G13/(G15*G14)))*(G12/(G16*PI()*G13))))))))))))))))))</f>
        <v>2.3840856154471255</v>
      </c>
      <c r="J12" s="88" t="s">
        <v>12</v>
      </c>
    </row>
    <row r="13" spans="5:10" ht="44.25" customHeight="1" x14ac:dyDescent="0.25">
      <c r="E13" s="91"/>
      <c r="F13" s="144" t="str">
        <f>IF(F7="Plate","A   the area of one face of the plate in square metres (m²)",IF(F7="Rod electrode","L   the electrode length, in metres (m)",IF(F7="Parallel connection of aligned rods","L    the electrode length, in metres (m)",IF(F7="Strip straight run or round conductor electrodes","L    length of the strip or conductor, in metres (m)",IF(F7="Mesh","A    the actual area covered by the mesh, in square metres (m²)",IF(F7="Electrode encased in low resistivity material (eg. conducting concrete)","ρc   the resistivity of the conducting material used for the backfill, in ohm metres (Ωm)",IF(F7="Three rods at the vertices of an equilateral triangle","L     the rod length, in metres (m)",IF(F7="Two strips set at right angles to each other meeting at one corner","L       the total length of the strip, in metres (m)",IF(F7="Three strips set at 120° meeting at the star point all of equal length","L       the total length of the strip, in metres (m)",IF(F7="Four strips set in a cruciform","L       the total length of the strip, in metres (m)",IF(F7="Vertical electrodes arranged in a hollow square","n        the number of footings used as electrodes (up to 20)",IF(F7="Reinforced concrete foundation","ρc    the resistivity of concrete, in ohm metres (Ωm)",IF(F7="Horizontal strip electrode","L      the length of conductor, in metres (m)")))))))))))))</f>
        <v>L       the total length of the strip, in metres (m)</v>
      </c>
      <c r="G13" s="145">
        <v>20</v>
      </c>
      <c r="H13" s="91" t="str">
        <f>IF(I12&lt;0,"Resistance cannot be negative, ensure you enter correct values for input parameters.","")</f>
        <v/>
      </c>
      <c r="I13" s="171" t="str">
        <f>IF(I12&lt;5,"Satisfactory for R&lt;5 ohm, continue with initial design",IF(I12&gt;5,"Does not comply for 5 ohms. Review and modify design"))</f>
        <v>Satisfactory for R&lt;5 ohm, continue with initial design</v>
      </c>
      <c r="J13" s="91"/>
    </row>
    <row r="14" spans="5:10" ht="30.75" customHeight="1" x14ac:dyDescent="0.25">
      <c r="E14" s="91"/>
      <c r="F14" s="144" t="str">
        <f>IF(F7="Plate","",IF(F7="Rod electrode","d    the rod diameter, in metres (m)",IF(F7="Parallel connection of aligned rods","d    the rod diameter, in metres (m)",IF(F7="Strip straight run or round conductor electrodes","h    the depth of the electrode, in metres (m)",IF(F7="Mesh","L     the total length of strip used in mesh, in metres (m)",IF(F7="Electrode encased in low resistivity material (eg. conducting concrete)", "L      the rod length, in metres (m)",IF(F7="Three rods at the vertices of an equilateral triangle","d     the rod diameter, in metres (m)",IF(F7="Two strips set at right angles to each other meeting at one corner","h      the depth of burial, in metres (m)",IF(F7="Three strips set at 120° meeting at the star point all of equal length","h      the depth of burial, in metres (m)",IF(F7="Four strips set in a cruciform","h      the depth of burial, in metres (m)",IF(F7="Vertical electrodes arranged in a hollow square","p       the soil resistivity, in ohm metres (Ωm)",IF(F7="Reinforced concrete foundation","L      the length of reinforcing rod below ground level, in metres (m)",IF(F7="Horizontal strip electrode","h      the depth of strip, in metres (m)")))))))))))))</f>
        <v>h      the depth of burial, in metres (m)</v>
      </c>
      <c r="G14" s="146">
        <v>1.5</v>
      </c>
      <c r="H14" s="91"/>
      <c r="I14" s="91"/>
      <c r="J14" s="91"/>
    </row>
    <row r="15" spans="5:10" ht="23.25" customHeight="1" x14ac:dyDescent="0.25">
      <c r="E15" s="91"/>
      <c r="F15" s="144" t="str">
        <f>IF(F7="Plate","",IF(F7="Rod electrode","",IF(F7="Parallel connection of aligned rods","n    the numer of rods",IF(F7="Strip straight run or round conductor electrodes","d    the diameter of the round conductor or diameter of the equivalent cross sectional area of the strip, in metres (m)",IF(F7="Mesh","",IF(F7="Electrode encased in low resistivity material (eg. conducting concrete)","d      the rod diameter, in metres (m)",IF(F7="Three rods at the vertices of an equilateral triangle","s     the length of one side of the equilateral triangle, in metres(m)",IF(F7="Two strips set at right angles to each other meeting at one corner","d      the diameter of round conductor or diameter of equivalent cross-sectional area of the strip, in metres (m)",IF(F7="Three strips set at 120° meeting at the star point all of equal length","d      the diameter of round conductor or diameter of equivalent cross sectional area of the strip, in metres (m)",IF(F7="Four strips set in a cruciform","d      the diameter of the round conductor or diameter of the equivalent cross sectional area of the strip, in metres (m)",IF(F7="Vertical electrodes arranged in a hollow square","s        the spacing of footings, in metres (m)",IF(F7="Reinforced concrete foundation","δ      the thickness of concrete between rods and soil, in metres (m)",IF(F7="Horizontal strip electrode","w     the width of strip, in metres (m)")))))))))))))</f>
        <v>d      the diameter of round conductor or diameter of equivalent cross sectional area of the strip, in metres (m)</v>
      </c>
      <c r="G15" s="146">
        <v>1.6E-2</v>
      </c>
      <c r="H15" s="91"/>
      <c r="I15" s="91"/>
      <c r="J15" s="91"/>
    </row>
    <row r="16" spans="5:10" ht="27.75" customHeight="1" x14ac:dyDescent="0.25">
      <c r="E16" s="91"/>
      <c r="F16" s="144" t="str">
        <f>IF(F7="Plate","",IF(F7="Rod electrode","",IF(F7="Parallel connection of aligned rods","s     the spacing between the rods, in metres (m)",IF(F7="Strip straight run or round conductor electrodes","n    number of strips (Insert   1 , 2, 3 or  4)",IF(F7="Mesh","",IF(F7="Electrode encased in low resistivity material (eg. conducting concrete)","",IF(F7="Three rods at the vertices of an equilateral triangle","",IF(F7="Two strips set at right angles to each other meeting at one corner","",IF(F7="Three strips set at 120° meeting at the star point all of equal length","",IF(F7="Four strips set in a cruciform","",IF(F7="Vertical electrodes arranged in a hollow square","λ        the factor for vertical electrodes (fixed value)",IF(F7="Reinforced concrete foundation","a      the radius of reinforcing rod, in metres (m)",IF(F7="Horizontal strip electrode","P      the coefficient value given in Table 6")))))))))))))</f>
        <v/>
      </c>
      <c r="G16" s="145">
        <v>2</v>
      </c>
      <c r="H16" s="92" t="str">
        <f>IF(AND(F7="Vertical electrodes arranged in a hollow square",G13=2),2.71,IF(AND(F7="Vertical electrodes arranged in a hollow square",G13=3),4.51,IF(AND(F7="Vertical electrodes arranged in a hollow square",G13=4),5.46,IF(AND(F7="Vertical electrodes arranged in a hollow square",G13=5),6.14,IF(AND(F7="Vertical electrodes arranged in a hollow square",G13=6),6.63,IF(AND(F7="Vertical electrodes arranged in a hollow square",G13=7),7.03,IF(AND(F7="Vertical electrodes arranged in a hollow square",G13=8),7.3,IF(AND(F7="Vertical electrodes arranged in a hollow square",G13=9),7.65,IF(AND(F7="Vertical electrodes arranged in a hollow square",G13=10),7.9,IF(AND(F7="Vertical electrodes arranged in a hollow square",G13=12),8.22,IF(AND(F7="Vertical electrodes arranged in a hollow square",G13=14),8.67,IF(AND(F7="Vertical electrodes arranged in a hollow square",G13=16),8.95,IF(AND(F7="Vertical electrodes arranged in a hollow square",G13=18),9.22,IF(AND(F7="Vertical electrodes arranged in a hollow square",G13=20),9.4,IF(F7="Vertical electrodes arranged in a hollow square",G16="Null",IF(AND(F7="Strip straight run or round conductor electrodes",G16=2),"ensure that  0.02 &lt;  (s/L) &lt;  0.3",IF(AND(F7="Strip straight run or round conductor electrodes",G16=3),"ensure that  0.02 &lt;  (s/L) &lt;  0.3",IF(AND(F7="Strip straight run or round conductor electrodes",G16=4),"ensure that  0.02 &lt;  (s/L) &lt;  0.3",""))))))))))))))))))</f>
        <v/>
      </c>
      <c r="I16" s="91"/>
      <c r="J16" s="91"/>
    </row>
    <row r="17" spans="5:10" ht="30" customHeight="1" x14ac:dyDescent="0.25">
      <c r="E17" s="91"/>
      <c r="F17" s="144" t="str">
        <f>IF(F7="Plate","",IF(F7="Rod electrode","",IF(F7="Parallel connection of aligned rods","",IF(F7="Strip straight run or round conductor electrodes","s    the distance between the parallel strips, in metres (m)",IF(F7="Mesh","",IF(F7="Electrode encased in low resistivity material (eg. conducting concrete)","",IF(F7="Three rods at the vertices of an equilateral triangle","",IF(F7="Two strips set at right angles to each other meeting at one corner","",IF(F7="Three strips set at 120° meeting at the star point all of equal length","",IF(F7="Four strips set in a cruciform","",IF(F7="Vertical electrodes arranged in a hollow square","",IF(F7="Reinforced concrete foundation","s       the distance between adjacent rods, in metres (m)",IF(F7="Horizontal strip electrode","Q     the coefficient value given in Table 6")))))))))))))</f>
        <v/>
      </c>
      <c r="G17" s="145">
        <v>1.8</v>
      </c>
      <c r="H17" s="91"/>
      <c r="I17" s="91"/>
      <c r="J17" s="91"/>
    </row>
    <row r="18" spans="5:10" ht="24.75" customHeight="1" x14ac:dyDescent="0.25">
      <c r="E18" s="91"/>
      <c r="F18" s="144" t="str">
        <f>IF(F7="Reinforced concrete foundation","n       number of rods","")</f>
        <v/>
      </c>
      <c r="G18" s="147">
        <v>3</v>
      </c>
      <c r="H18" s="91"/>
      <c r="I18" s="91"/>
      <c r="J18" s="91"/>
    </row>
    <row r="19" spans="5:10" ht="23.25" customHeight="1" x14ac:dyDescent="0.25">
      <c r="E19" s="91"/>
      <c r="F19" s="144" t="str">
        <f>IF(F7="Reinforced concrete foundation","z       the geometric mean distancem in metres (m)","")</f>
        <v/>
      </c>
      <c r="G19" s="194" t="str">
        <f>IF(AND(F7="Reinforced concrete foundation",G18=2),POWER(G16*G17,1/2),IF(AND(F7="Reinforced concrete foundation",G18=3),POWER(G16*G17*G17,1/3),IF(AND(F7="Reinforced concrete foundation",G18=4),POWER((2*G16*G17*G17*G17),1/4),IF(AND(F7="Reinforced concrete foundation",G18=6),POWER((6*G16*G17*G17*G17*G17*G17),1/6),IF(AND(F7="Reinforced concrete foundation",G18="8   (octagon form)"),POWER((52*G16*(G17)^7),1/8),IF(AND(F7="Reinforced concrete foundation",G18="8   (square form)"),POWER(23*G16*(G17)^7,1/8),""))))))</f>
        <v/>
      </c>
      <c r="H19" s="91"/>
      <c r="I19" s="91"/>
      <c r="J19" s="91"/>
    </row>
    <row r="20" spans="5:10" s="34" customFormat="1" x14ac:dyDescent="0.25">
      <c r="E20" s="91"/>
      <c r="F20" s="91"/>
      <c r="G20" s="91"/>
      <c r="H20" s="91"/>
      <c r="I20" s="91"/>
      <c r="J20" s="91"/>
    </row>
    <row r="21" spans="5:10" s="34" customFormat="1" x14ac:dyDescent="0.25">
      <c r="E21" s="91"/>
      <c r="F21" s="91"/>
      <c r="G21" s="91"/>
      <c r="H21" s="91"/>
      <c r="I21" s="91"/>
      <c r="J21" s="91"/>
    </row>
    <row r="22" spans="5:10" s="34" customFormat="1" x14ac:dyDescent="0.25">
      <c r="E22" s="91"/>
      <c r="F22" s="91"/>
      <c r="G22" s="91"/>
      <c r="H22" s="91"/>
      <c r="I22" s="91"/>
      <c r="J22" s="91"/>
    </row>
    <row r="23" spans="5:10" s="34" customFormat="1" x14ac:dyDescent="0.25">
      <c r="E23" s="91"/>
      <c r="F23" s="91"/>
      <c r="G23" s="91"/>
      <c r="H23" s="91"/>
      <c r="I23" s="91"/>
      <c r="J23" s="91"/>
    </row>
    <row r="24" spans="5:10" s="34" customFormat="1" ht="24.75" x14ac:dyDescent="0.3">
      <c r="E24" s="91"/>
      <c r="F24" s="174"/>
      <c r="G24" s="91"/>
      <c r="H24" s="91"/>
      <c r="I24" s="91"/>
      <c r="J24" s="91"/>
    </row>
    <row r="25" spans="5:10" s="34" customFormat="1" x14ac:dyDescent="0.25">
      <c r="E25" s="91"/>
      <c r="F25" s="91"/>
      <c r="G25" s="91"/>
      <c r="H25" s="91"/>
      <c r="I25" s="91"/>
      <c r="J25" s="91"/>
    </row>
    <row r="26" spans="5:10" s="34" customFormat="1" ht="22.5" customHeight="1" x14ac:dyDescent="0.3">
      <c r="E26" s="91"/>
      <c r="F26" s="175"/>
      <c r="G26" s="91"/>
      <c r="H26" s="91"/>
      <c r="I26" s="91"/>
      <c r="J26" s="91"/>
    </row>
    <row r="27" spans="5:10" s="34" customFormat="1" ht="32.25" customHeight="1" x14ac:dyDescent="0.25">
      <c r="F27" s="81"/>
    </row>
    <row r="28" spans="5:10" s="34" customFormat="1" x14ac:dyDescent="0.25"/>
    <row r="29" spans="5:10" s="34" customFormat="1" x14ac:dyDescent="0.25"/>
    <row r="30" spans="5:10" s="34" customFormat="1" ht="18.75" x14ac:dyDescent="0.3">
      <c r="F30" s="80"/>
    </row>
    <row r="31" spans="5:10" s="34" customFormat="1" x14ac:dyDescent="0.25"/>
    <row r="32" spans="5:10" s="34" customFormat="1" x14ac:dyDescent="0.25"/>
    <row r="33" spans="6:10" s="34" customFormat="1" x14ac:dyDescent="0.25"/>
    <row r="34" spans="6:10" s="34" customFormat="1" x14ac:dyDescent="0.25"/>
    <row r="35" spans="6:10" ht="53.25" customHeight="1" x14ac:dyDescent="0.25">
      <c r="F35" s="82"/>
      <c r="G35" s="82"/>
      <c r="H35" s="83"/>
      <c r="I35" s="34"/>
      <c r="J35" s="34"/>
    </row>
    <row r="36" spans="6:10" x14ac:dyDescent="0.25">
      <c r="F36" s="34"/>
      <c r="G36" s="34"/>
      <c r="H36" s="34"/>
      <c r="I36" s="34"/>
      <c r="J36" s="34"/>
    </row>
    <row r="37" spans="6:10" x14ac:dyDescent="0.25">
      <c r="F37" s="34"/>
      <c r="G37" s="34"/>
      <c r="H37" s="34"/>
      <c r="I37" s="34"/>
      <c r="J37" s="34"/>
    </row>
    <row r="38" spans="6:10" x14ac:dyDescent="0.25">
      <c r="F38" s="34"/>
      <c r="G38" s="34"/>
      <c r="H38" s="34"/>
      <c r="I38" s="34"/>
      <c r="J38" s="34"/>
    </row>
    <row r="39" spans="6:10" x14ac:dyDescent="0.25">
      <c r="F39" s="34"/>
      <c r="G39" s="34"/>
      <c r="H39" s="34"/>
      <c r="I39" s="34"/>
      <c r="J39" s="34"/>
    </row>
    <row r="40" spans="6:10" x14ac:dyDescent="0.25">
      <c r="F40" s="34"/>
      <c r="G40" s="34"/>
      <c r="H40" s="34"/>
      <c r="I40" s="34"/>
      <c r="J40" s="34"/>
    </row>
    <row r="41" spans="6:10" x14ac:dyDescent="0.25">
      <c r="F41" s="34"/>
      <c r="G41" s="34"/>
      <c r="H41" s="34"/>
      <c r="I41" s="34"/>
      <c r="J41" s="34"/>
    </row>
    <row r="42" spans="6:10" x14ac:dyDescent="0.25">
      <c r="F42" s="34"/>
      <c r="G42" s="34"/>
      <c r="H42" s="34"/>
      <c r="I42" s="34"/>
      <c r="J42" s="34"/>
    </row>
    <row r="43" spans="6:10" x14ac:dyDescent="0.25">
      <c r="F43" s="34"/>
      <c r="G43" s="34"/>
      <c r="H43" s="34"/>
      <c r="I43" s="34"/>
      <c r="J43" s="34"/>
    </row>
    <row r="44" spans="6:10" x14ac:dyDescent="0.25">
      <c r="F44" s="34"/>
      <c r="G44" s="34"/>
      <c r="H44" s="34"/>
      <c r="I44" s="34"/>
      <c r="J44" s="34"/>
    </row>
    <row r="45" spans="6:10" x14ac:dyDescent="0.25">
      <c r="F45" s="34"/>
      <c r="G45" s="34"/>
      <c r="H45" s="34"/>
      <c r="I45" s="34"/>
      <c r="J45" s="34"/>
    </row>
  </sheetData>
  <sheetProtection algorithmName="SHA-512" hashValue="Q1tK2un+04iNR+z1ZwqXaIy5zyAwpcW4aY8AY4XJRt9YRRO9yavfCdcVb1UUdEayf5ZAtql23EqneHdL92cgtg==" saltValue="JD7TZHXpDApgbL5PpgUOfQ==" spinCount="100000" sheet="1" selectLockedCells="1"/>
  <conditionalFormatting sqref="G14:G19">
    <cfRule type="expression" dxfId="75" priority="28">
      <formula>$F$7="Plate"</formula>
    </cfRule>
  </conditionalFormatting>
  <conditionalFormatting sqref="G15:G19">
    <cfRule type="expression" dxfId="74" priority="3">
      <formula>$F$7="Rod electrode"</formula>
    </cfRule>
    <cfRule type="expression" dxfId="73" priority="16">
      <formula>$F$7="Mesh"</formula>
    </cfRule>
    <cfRule type="expression" dxfId="72" priority="24">
      <formula>$F$7="Mesh"</formula>
    </cfRule>
    <cfRule type="expression" dxfId="71" priority="27">
      <formula>$F$7="Rod electrode"</formula>
    </cfRule>
  </conditionalFormatting>
  <conditionalFormatting sqref="G17:G19">
    <cfRule type="expression" dxfId="70" priority="9">
      <formula>$F$7="Horizontal strip electrode"</formula>
    </cfRule>
    <cfRule type="expression" dxfId="69" priority="10">
      <formula>$F$7="Vertical electrodes arranged in a hollow square"</formula>
    </cfRule>
    <cfRule type="expression" dxfId="68" priority="17">
      <formula>$F$7="Vertical electrodes arranged in a hollow square"</formula>
    </cfRule>
    <cfRule type="expression" dxfId="67" priority="26">
      <formula>$F$7="Parallel connection of aligned rods"</formula>
    </cfRule>
  </conditionalFormatting>
  <conditionalFormatting sqref="G18:G19">
    <cfRule type="expression" dxfId="66" priority="25">
      <formula>$F$7="Strip straight run or round conductor electrodes"</formula>
    </cfRule>
  </conditionalFormatting>
  <conditionalFormatting sqref="G16:G19">
    <cfRule type="expression" dxfId="65" priority="11">
      <formula>$F$7="Four strips set in a cruciform"</formula>
    </cfRule>
    <cfRule type="expression" dxfId="64" priority="12">
      <formula>$F$7="Three strips set at 120° meeting at the star point all of equal length"</formula>
    </cfRule>
    <cfRule type="expression" dxfId="63" priority="13">
      <formula>$F$7="Two strips set at right angles to each other meeting at one corner"</formula>
    </cfRule>
    <cfRule type="expression" dxfId="62" priority="14">
      <formula>$F$7="Three rods at the vertices of an equilateral triangle"</formula>
    </cfRule>
    <cfRule type="expression" dxfId="61" priority="15">
      <formula>$F$7="Electrode encased in low resistivity material (eg. Conducting concrete)"</formula>
    </cfRule>
    <cfRule type="expression" dxfId="60" priority="18">
      <formula>$F$7="Four strips set in a cruciform"</formula>
    </cfRule>
    <cfRule type="expression" dxfId="59" priority="19">
      <formula>$F$7="Three strips set at 120° meeting at the star point all of equal length"</formula>
    </cfRule>
    <cfRule type="expression" dxfId="58" priority="21">
      <formula>$F$7="Two strips set at right angles to each other meeting at one corner"</formula>
    </cfRule>
    <cfRule type="expression" dxfId="57" priority="22">
      <formula>$F$7="Three rods at the vertices of an equilateral triangle"</formula>
    </cfRule>
    <cfRule type="expression" dxfId="56" priority="23">
      <formula>$F$7="Electrode encased in low resistivity material (eg. Conducting concrete)"</formula>
    </cfRule>
  </conditionalFormatting>
  <conditionalFormatting sqref="G17">
    <cfRule type="expression" dxfId="55" priority="2">
      <formula>$F$7="Horizontal strip electrode"</formula>
    </cfRule>
    <cfRule type="expression" dxfId="54" priority="8">
      <formula>$F$7="Horizontal strip electrode"</formula>
    </cfRule>
  </conditionalFormatting>
  <conditionalFormatting sqref="H16">
    <cfRule type="expression" dxfId="53" priority="7">
      <formula>$F$16="λ        the factor for vertical electrodes(fixed value)"</formula>
    </cfRule>
  </conditionalFormatting>
  <conditionalFormatting sqref="G16">
    <cfRule type="expression" dxfId="52" priority="5">
      <formula>$F$16="λ        the factor for vertical electrodes(fixed value)"</formula>
    </cfRule>
    <cfRule type="expression" dxfId="51" priority="6">
      <formula>$F$16="λ        the factor for vertical electrodes(fixed value)"</formula>
    </cfRule>
  </conditionalFormatting>
  <conditionalFormatting sqref="G18">
    <cfRule type="expression" dxfId="50" priority="4">
      <formula>$F$7="Horizontal strip electrode"</formula>
    </cfRule>
  </conditionalFormatting>
  <conditionalFormatting sqref="F19:G19">
    <cfRule type="expression" dxfId="49" priority="1">
      <formula>$F$7="Reinforced concrete foundation"</formula>
    </cfRule>
  </conditionalFormatting>
  <dataValidations count="3">
    <dataValidation type="list" allowBlank="1" showInputMessage="1" showErrorMessage="1" sqref="F7" xr:uid="{00000000-0002-0000-0100-000000000000}">
      <formula1>BS</formula1>
    </dataValidation>
    <dataValidation type="list" allowBlank="1" showInputMessage="1" showErrorMessage="1" sqref="G18" xr:uid="{00000000-0002-0000-0100-000001000000}">
      <formula1>n</formula1>
    </dataValidation>
    <dataValidation type="list" allowBlank="1" showInputMessage="1" showErrorMessage="1" sqref="F27" xr:uid="{00000000-0002-0000-0100-000002000000}">
      <formula1>E</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7"/>
  <sheetViews>
    <sheetView zoomScale="80" zoomScaleNormal="80" workbookViewId="0">
      <selection activeCell="F6" sqref="F6"/>
    </sheetView>
  </sheetViews>
  <sheetFormatPr defaultRowHeight="15" x14ac:dyDescent="0.25"/>
  <cols>
    <col min="1" max="1" width="9.140625" style="34"/>
    <col min="2" max="2" width="7.42578125" style="34" customWidth="1"/>
    <col min="3" max="3" width="4.140625" style="34" customWidth="1"/>
    <col min="4" max="4" width="9.140625" style="78" hidden="1" customWidth="1"/>
    <col min="5" max="5" width="81.28515625" style="78" customWidth="1"/>
    <col min="6" max="6" width="49.7109375" style="78" customWidth="1"/>
    <col min="7" max="7" width="36.7109375" style="34" customWidth="1"/>
    <col min="8" max="8" width="16.85546875" style="34" customWidth="1"/>
    <col min="9" max="10" width="9.140625" style="34"/>
    <col min="11" max="16384" width="9.140625" style="78"/>
  </cols>
  <sheetData>
    <row r="1" spans="5:7" s="34" customFormat="1" x14ac:dyDescent="0.25"/>
    <row r="2" spans="5:7" s="34" customFormat="1" x14ac:dyDescent="0.25"/>
    <row r="3" spans="5:7" s="34" customFormat="1" x14ac:dyDescent="0.25"/>
    <row r="4" spans="5:7" ht="18.75" x14ac:dyDescent="0.3">
      <c r="E4" s="120" t="s">
        <v>308</v>
      </c>
    </row>
    <row r="5" spans="5:7" s="34" customFormat="1" ht="18.75" x14ac:dyDescent="0.3">
      <c r="E5" s="93"/>
    </row>
    <row r="6" spans="5:7" x14ac:dyDescent="0.25">
      <c r="E6" s="10"/>
      <c r="F6" s="34"/>
    </row>
    <row r="7" spans="5:7" ht="26.25" customHeight="1" x14ac:dyDescent="0.25">
      <c r="E7" s="101" t="s">
        <v>49</v>
      </c>
      <c r="F7" s="11">
        <v>1000</v>
      </c>
    </row>
    <row r="8" spans="5:7" ht="30.75" customHeight="1" x14ac:dyDescent="0.25">
      <c r="E8" s="101" t="s">
        <v>50</v>
      </c>
      <c r="F8" s="12">
        <v>1</v>
      </c>
      <c r="G8" s="35"/>
    </row>
    <row r="9" spans="5:7" ht="26.25" customHeight="1" x14ac:dyDescent="0.25">
      <c r="E9" s="101" t="s">
        <v>54</v>
      </c>
      <c r="F9" s="13" t="s">
        <v>40</v>
      </c>
    </row>
    <row r="10" spans="5:7" ht="26.25" customHeight="1" x14ac:dyDescent="0.25">
      <c r="E10" s="101" t="s">
        <v>51</v>
      </c>
      <c r="F10" s="13">
        <v>350</v>
      </c>
    </row>
    <row r="11" spans="5:7" ht="35.25" customHeight="1" x14ac:dyDescent="0.25">
      <c r="E11" s="119" t="s">
        <v>205</v>
      </c>
      <c r="F11" s="14">
        <f>IF(AND(F9="Copper",F10=700),254,IF(AND(F9="Copper",F10=600),252,IF(AND(F9="Copper",F10=500),228,IF(AND(F9="Copper",F10=450),220,IF(AND(F9="Copper",F10=400),211,IF(AND(F9="Copper",F10=350),201,IF(AND(F9="Copper",F10=300),190,IF(AND(F9="Copper",F10=250),176,IF(AND(F9="Copper",F10=200),159,IF(AND(F9="Copper",F10=150),138,IF(AND(F9="Aluminium",F10=300),125,IF(AND(F9="Aluminium",F10=250),116,IF(AND(F9="Aluminium",F10=200),105,IF(AND(F9="Aluminium",F10=150),91,IF(AND(F9="Steel",F10=700),91,IF(AND(F9="Steel",F10=600),87,IF(AND(F9="Steel",F10=500),82,IF(AND(F9="Steel",F10=450),79,IF(AND(F9="Steel",F10=400),76,IF(AND(F9="Steel",F10=350),73,IF(AND(F9="Steel",F10=300),69,IF(AND(F9="Steel",F10=250),64,IF(AND(F9="Steel",F10=200),58,IF(AND(F9="Steel",F10=150),50,""))))))))))))))))))))))))</f>
        <v>201</v>
      </c>
    </row>
    <row r="12" spans="5:7" ht="36" customHeight="1" x14ac:dyDescent="0.25">
      <c r="E12" s="101" t="s">
        <v>53</v>
      </c>
      <c r="F12" s="13" t="s">
        <v>77</v>
      </c>
      <c r="G12" s="36"/>
    </row>
    <row r="13" spans="5:7" ht="24.75" customHeight="1" x14ac:dyDescent="0.25">
      <c r="E13" s="101" t="str">
        <f>IF(F12="no","T1   the initial temperature in °C","")</f>
        <v>T1   the initial temperature in °C</v>
      </c>
      <c r="F13" s="13">
        <v>38</v>
      </c>
    </row>
    <row r="14" spans="5:7" ht="27" customHeight="1" x14ac:dyDescent="0.25">
      <c r="E14" s="101" t="str">
        <f>IF(F12="no","T2   the final temperature in °C","")</f>
        <v>T2   the final temperature in °C</v>
      </c>
      <c r="F14" s="13">
        <v>69</v>
      </c>
    </row>
    <row r="15" spans="5:7" ht="25.5" customHeight="1" x14ac:dyDescent="0.25">
      <c r="E15" s="101" t="str">
        <f>IF(F12="no","new   k   value in (A/mm²) ","")</f>
        <v xml:space="preserve">new   k   value in (A/mm²) </v>
      </c>
      <c r="F15" s="133">
        <f>IF(AND(F9="Copper",F12="no"),(226*(LN((F14+254)/(F13+254)))^(1/2)),IF(AND(F9="Aluminium",F12="no"),(148*(LN((F14+228)/(F13+228)))^(1/2)),IF(AND(F9="Steel",F12="no"),(78*(LN((F14+202)/(F13+202)))^(1/2)),"")))</f>
        <v>71.787832229881772</v>
      </c>
    </row>
    <row r="16" spans="5:7" ht="27" customHeight="1" x14ac:dyDescent="0.25">
      <c r="E16" s="10"/>
      <c r="F16" s="34"/>
    </row>
    <row r="17" spans="5:7" ht="15.75" thickBot="1" x14ac:dyDescent="0.3">
      <c r="E17" s="34"/>
    </row>
    <row r="18" spans="5:7" ht="24.75" customHeight="1" thickTop="1" thickBot="1" x14ac:dyDescent="0.3">
      <c r="E18" s="118" t="s">
        <v>189</v>
      </c>
      <c r="F18" s="31" t="str">
        <f>IF(F10&gt;=500,"Welded",IF(AND(F10&lt;=450,F10&gt;=300),"Welded or Brazed",IF(OR(F10=250,F10=200),"Welded, Brazed, or Bolted",IF(OR(F10=100,F10=150),"Welded, Brazed, Bolted, or Soft soldered",""))))</f>
        <v>Welded or Brazed</v>
      </c>
    </row>
    <row r="19" spans="5:7" ht="27.75" customHeight="1" thickTop="1" thickBot="1" x14ac:dyDescent="0.3">
      <c r="E19" s="116" t="s">
        <v>310</v>
      </c>
      <c r="F19" s="30">
        <f>IF(F12="NO",(F7/F15)*(POWER(F8,1/2)),(F7/F11)*(POWER(F8,1/2)))</f>
        <v>13.929937274018267</v>
      </c>
    </row>
    <row r="20" spans="5:7" ht="32.25" customHeight="1" thickTop="1" x14ac:dyDescent="0.25">
      <c r="E20" s="87"/>
      <c r="F20" s="34"/>
      <c r="G20" s="82"/>
    </row>
    <row r="21" spans="5:7" x14ac:dyDescent="0.25">
      <c r="E21" s="91"/>
    </row>
    <row r="22" spans="5:7" x14ac:dyDescent="0.25">
      <c r="E22" s="91"/>
      <c r="F22" s="34"/>
    </row>
    <row r="23" spans="5:7" x14ac:dyDescent="0.25">
      <c r="E23" s="91"/>
      <c r="F23" s="34"/>
    </row>
    <row r="24" spans="5:7" ht="18.75" x14ac:dyDescent="0.3">
      <c r="E24" s="100" t="s">
        <v>74</v>
      </c>
      <c r="F24" s="34"/>
    </row>
    <row r="25" spans="5:7" x14ac:dyDescent="0.25">
      <c r="E25" s="91"/>
    </row>
    <row r="26" spans="5:7" ht="18.75" x14ac:dyDescent="0.3">
      <c r="E26" s="117" t="s">
        <v>55</v>
      </c>
      <c r="F26" s="94" t="s">
        <v>40</v>
      </c>
    </row>
    <row r="27" spans="5:7" ht="18.75" x14ac:dyDescent="0.3">
      <c r="E27" s="117" t="s">
        <v>56</v>
      </c>
      <c r="F27" s="94">
        <v>1</v>
      </c>
    </row>
    <row r="28" spans="5:7" ht="18.75" x14ac:dyDescent="0.3">
      <c r="E28" s="117" t="s">
        <v>57</v>
      </c>
      <c r="F28" s="94">
        <v>200</v>
      </c>
    </row>
    <row r="29" spans="5:7" ht="18.75" x14ac:dyDescent="0.3">
      <c r="E29" s="117" t="s">
        <v>58</v>
      </c>
      <c r="F29" s="94" t="s">
        <v>67</v>
      </c>
    </row>
    <row r="30" spans="5:7" x14ac:dyDescent="0.25">
      <c r="E30" s="91"/>
      <c r="F30" s="87"/>
    </row>
    <row r="31" spans="5:7" x14ac:dyDescent="0.25">
      <c r="E31" s="91"/>
      <c r="F31" s="91"/>
    </row>
    <row r="32" spans="5:7" ht="15.75" x14ac:dyDescent="0.25">
      <c r="E32" s="111"/>
      <c r="F32" s="112">
        <f>IF(AND(F26="Copper",F27=1,F28=150,F29="20 x 3"),8.3,IF(AND(F26="Copper",F27=1,F28=150,F29="25 x 3"),10.4,IF(AND(F26="Copper",F27=1,F28=150,F29="25 x 4"),13.8,IF(AND(F26="Copper",F27=1,F28=150,F29="25 x 6"),20.7,IF(AND(F26="Copper",F27=1,F28=150,F29="31 x 3"),12.8,IF(AND(F26="Copper",F27=1,F28=150,F29="31 x 6"),25.7,IF(AND(F26="Copper",F27=1,F28=150,F29="38 x 3"),15.7,IF(AND(F26="Copper",F27=1,F28=150,F29="38 x 5"),26.2,IF(AND(F26="Copper",F27=1,F28=150,F29="38 x 6"),31.5,IF(AND(F26="Copper",F27=1,F28=150,F29="50 x 3"),20.7,IF(AND(F26="Copper",F27=1,F28=150,F29="50 x 4"),27.6,IF(AND(F26="Copper",F27=1,F28=150,F29="50 x 6"),41.4,IF(AND(F26="Copper",F27=1,F28=200,F29="20 x 3"),9.5,IF(AND(F26="Copper",F27=1,F28=200,F29="25 x 3"),11.9,IF(AND(F26="Copper",F27=1,F28=200,F29="25 x 4"),15.9,IF(AND(F26="Copper",F27=1,F28=200,F29="25 x 6"),23.9,IF(AND(F26="Copper",F27=1,F28=200,F29="31 x 3"),14.8,IF(AND(F26="Copper",F27=1,F28=200,F29="31 x 6"),29.6,IF(AND(F26="Copper",F27=1,F28=200,F29="38 x 3"),18.1,IF(AND(F26="Copper",F27=1,F28=200,F29="38 x 5"),30.2,IF(AND(F26="Copper",F27=1,F28=200,F29="38 x 6"),36.3,IF(AND(F26="Copper",F27=1,F28=200,F29="50 x 3"),23.9,IF(AND(F26="Copper",F27=1,F28=200,F29="50 x 4"),31.8,IF(AND(F26="Copper",F27=1,F28=200,F29="50 x 6"),47.7,IF(AND(F26="Copper",F27=1,F28=250,F29="20 x 3"),10.6,IF(AND(F26="Copper",F27=1,F28=250,F29="25 x 3"),13.2,IF(AND(F26="Copper",F27=1,F28=250,F29="25 x 4"),17.6,IF(AND(F26="Copper",F27=1,F28=250,F29="25 x 6"),26.4,IF(AND(F26="Copper",F27=1,F28=250,F29="31 x 3"),16.4,IF(AND(F26="Copper",F27=1,F28=250,F29="31 x 6"),32.7,IF(AND(F26="Copper",F27=1,F28=250,F29="38 x 3"),20.1,IF(AND(F26="Copper",F27=1,F28=250,F29="38 x 5"),33.4,IF(AND(F26="Copper",F27=1,F28=250,F29="38 x 6"),40.1,IF(AND(F26="Copper",F27=1,F28=250,F29="50 x 3"),26.4,IF(AND(F26="Copper",F27=1,F28=250,F29="50 x 4"),35.2,IF(AND(F26="Copper",F27=1,F28=250,F29="50 x 6"),25.8,IF(AND(F26="Copper",F27=1,F28=450,F29="20 x 3"),13.2,IF(AND(F26="Copper",F27=1,F28=450,F29="25 x 3"),16.5,IF(AND(F26="Copper",F27=1,F28=450,F29="25 x 4"),22,IF(AND(F26="Copper",F27=1,F28=450,F29="25 x 6"),33,IF(AND(F26="Copper",F27=1,F28=450,F29="31 x 3"),20.5,IF(AND(F26="Copper",F27=1,F28=450,F29="31 x 6"),40.9,IF(AND(F26="Copper",F27=1,F28=450,F29="38 x 3"),25.1,IF(AND(F26="Copper",F27=1,F28=450,F29="38 x 5"),41.8,IF(AND(F26="Copper",F27=1,F28=450,F29="38 x 6"),50.2,IF(AND(F26="Copper",F27=1,F28=450,F29="50 x 3"),33,IF(AND(F26="Copper",F27=1,F28=450,F29="50 x 4"),44,IF(AND(F26="Copper",F27=1,F28=450,F29="50 x 6"),66,IF(AND(F26="Copper",F27=1,F28=500,F29="20 x 3"),13.7,IF(AND(F26="Copper",F27=1,F28=500,F29="25 x 3"),17.1,IF(AND(F26="Copper",F27=1,F28=500,F29="25 x 4"),22.8,IF(AND(F26="Copper",F27=1,F28=500,F29="25 x 6"),34.2,IF(AND(F26="Copper",F27=1,F28=500,F29="31 x 3"),21.2,IF(AND(F26="Copper",F27=1,F28=500,F29="31 x 6"),42.4,IF(AND(F26="Copper",F27=1,F28=500,F29="38 x 3"),26,IF(AND(F26="Copper",F27=1,F28=500,F29="38 x 5"),43.3,IF(AND(F26="Copper",F27=1,F28=500,F29="38 x 6"),52,IF(AND(F26="Copper",F27=1,F28=500,F29="50 x 3"),34.2,IF(AND(F26="Copper",F27=1,F28=500,F29="50 x 4"),45.6,IF(AND(F26="Copper",F27=1,F28=500,F29="50 x 6"),68.4,""))))))))))))))))))))))))))))))))))))))))))))))))))))))))))))</f>
        <v>36.299999999999997</v>
      </c>
    </row>
    <row r="33" spans="5:6" ht="15.75" x14ac:dyDescent="0.25">
      <c r="E33" s="113" t="s">
        <v>74</v>
      </c>
      <c r="F33" s="114" t="str">
        <f>IF(AND(F26="Aluminium",F27=1,F28=150,F29="20 x 3"),5.5,IF(AND(F26="Aluminium",F27=1,F28=150,F29="25 x 3"),6.8,IF(AND(F26="Aluminium",F27=1,F28=150,F29="25 x 6"),13.7,IF(AND(F26="Aluminium",F27=1,F28=150,F29="50 x 6"),27.3,IF(AND(F26="Aluminium",F27=1,F28=150,F29="60 x 6"),32.8,IF(AND(F26="Aluminium",F27=1,F28=150,F29="80 x 6"),43.7,IF(AND(F26="Aluminium",F27=1,F28=200,F29="20 x 3"),6.3,IF(AND(F26="Aluminium",F27=1,F28=200,F29="25 x 3"),7.9,IF(AND(F26="Aluminium",F27=1,F28=200,F29="25 x 6"),15.8,IF(AND(F26="Aluminium",F27=1,F28=200,F29="50 x 6"),31.5,IF(AND(F26="Aluminium",F27=1,F28=200,F29="60 x 6"),37.8,IF(AND(F26="Aluminium",F27=1,F28=200,F29="80 x 6"),50.4,IF(AND(F26="Aluminium",F27=1,F28=250,F29="20 x 3"),7,IF(AND(F26="Aluminium",F27=1,F28=250,F29="25 x 3"),8.7,IF(AND(F26="Aluminium",F27=1,F28=250,F29="25 x 6"),17.4,IF(AND(F26="Aluminium",F27=1,F28=250,F29="50 x 6"),34.8,IF(AND(F26="Aluminium",F27=1,F28=250,F29="60 x 6"),41.8,IF(AND(F26="Aluminium",F27=1,F28=250,F29="80 x 6"),55.7,IF(AND(F26="Aluminium",F27=1,F28=300,F29="20 x 3"),7.5,IF(AND(F26="Aluminium",F27=1,F28=300,F29="25 x 3"),9.4,IF(AND(F26="Aluminium",F27=1,F28=300,F29="25 x 6"),18.8,IF(AND(F26="Aluminium",F27=1,F28=300,F29="50 x 6"),37.5,IF(AND(F26="Aluminium",F27=1,F28=300,F29="60 x 6"),45,IF(AND(F26="Aluminium",F27=1,F28=300,F29="80 x 6"),60,IF(AND(F26="Aluminium",F27=3,F28=150,F29="20 x 3"),3.2,IF(AND(F26="Aluminium",F27=3,F28=150,F29="25 x 3"),3.9,IF(AND(F26="Aluminium",F27=3,F28=150,F29="25 x 6"),7.9,IF(AND(F26="Aluminium",F27=3,F28=150,F29="50 x 6"),15.8,IF(AND(F26="Aluminium",F27=3,F28=150,F29="60 x 6"),18.9,IF(AND(F26="Aluminium",F27=3,F28=150,F29="80 x 6"),25.2,IF(AND(F26="Aluminium",F27=3,F28=200,F29="20 x 3"),3.6,IF(AND(F26="Aluminium",F27=3,F28=200,F29="25 x 3"),4.5,IF(AND(F26="Aluminium",F27=3,F28=200,F29="25 x 6"),9.1,IF(AND(F26="Aluminium",F27=3,F28=200,F29="50 x 6"),18.2,IF(AND(F26="Aluminium",F27=3,F28=200,F29="60 x 6"),21.8,IF(AND(F26="Aluminium",F27=3,F28=200,F29="80 x 6"),29.1,IF(AND(F26="Aluminium",F27=3,F28=250,F29="20 x 3"),4,IF(AND(F26="Aluminium",F27=3,F28=250,F29="25 x 3"),5,IF(AND(F26="Aluminium",F27=3,F28=250,F29="25 x 6"),10,IF(AND(F26="Aluminium",F27=3,F28=250,F29="50 x 6"),20.1,IF(AND(F26="Aluminium",F27=3,F28=250,F29="60 x 6"),24.1,IF(AND(F26="Aluminium",F27=3,F28=250,F29="80 x 6"),32.1,IF(AND(F26="Aluminium",F27=3,F28=300,F29="20 x 3"),4.3,IF(AND(F26="Aluminium",F27=3,F28=300,F29="25 x 3"),5.4,IF(AND(F26="Aluminium",F27=3,F28=300,F29="25 x 6"),10.8,IF(AND(F26="Aluminium",F27=3,F28=300,F29="50 x 6"),21.7,IF(AND(F26="Aluminium",F27=3,F28=300,F29="60 x 6"),26,IF(AND(F26="Aluminium",F27=3,F28=300,F29="80 x 6"),34.6,""))))))))))))))))))))))))))))))))))))))))))))))))</f>
        <v/>
      </c>
    </row>
    <row r="34" spans="5:6" ht="15.75" x14ac:dyDescent="0.25">
      <c r="E34" s="113"/>
      <c r="F34" s="115" t="str">
        <f>IF(AND(F26="Copper",F27=3,F28=150,F29="20 x 3"),4.8,IF(AND(F26="Copper",F27=3,F28=150,F29="25 x 3"),6,IF(AND(F26="Copper",F27=3,F28=150,F29="25 x 4"),8,IF(AND(F26="Copper",F27=3,F28=150,F29="25 x 6"),12,IF(AND(F26="Copper",F27=3,F28=150,F29="31 x 3"),7.4,IF(AND(F26="Copper",F27=3,F28=150,F29="31 x 6"),14.8,IF(AND(F26="Copper",F27=3,F28=150,F29="38 x 3"),9.1,IF(AND(F26="Copper",F27=3,F28=150,F29="38 x 5"),15.1,IF(AND(F26="Copper",F27=3,F28=150,F29="38 x 6"),18.2,IF(AND(F26="Copper",F27=3,F28=150,F29="50 x 3"),12,IF(AND(F26="Copper",F27=3,F28=150,F29="50 x 4"),15.9,IF(AND(F26="Copper",F27=3,F28=150,F29="50 x 6"),23.9,IF(AND(F26="Copper",F27=3,F28=200,F29="20 x 3"),5.5,IF(AND(F26="Copper",F27=3,F28=200,F29="25 x 3"),6.9,IF(AND(F26="Copper",F27=3,F28=200,F29="25 x 4"),9.2,IF(AND(F26="Copper",F27=3,F28=200,F29="25 x 6"),13.8,IF(AND(F26="Copper",F27=3,F28=200,F29="31 x 3"),8.5,IF(AND(F26="Copper",F27=3,F28=200,F29="31 x 6"),17.1,IF(AND(F26="Copper",F27=3,F28=200,F29="38 x 3"),10.5,IF(AND(F26="Copper",F27=3,F28=200,F29="38 x 5"),17.4,IF(AND(F26="Copper",F27=3,F28=200,F29="38 x 6"),20.9,IF(AND(F26="Copper",F27=3,F28=200,F29="50 x 3"),13.8,IF(AND(F26="Copper",F27=3,F28=200,F29="50 x 4"),18.4,IF(AND(F26="Copper",F27=3,F28=200,F29="50 x 6"),27.5,IF(AND(F26="Copper",F27=3,F28=250,F29="20 x 3"),6.1,IF(AND(F26="Copper",F27=3,F28=250,F29="25 x 3"),7.6,IF(AND(F26="Copper",F27=3,F28=250,F29="25 x 4"),10.2,IF(AND(F26="Copper",F27=3,F28=250,F29="25 x 6"),15.2,IF(AND(F26="Copper",F27=3,F28=250,F29="31 x 3"),9.5,IF(AND(F26="Copper",F27=3,F28=250,F29="31 x 6"),18.9,IF(AND(F26="Copper",F27=3,F28=250,F29="38 x 3"),11.6,IF(AND(F26="Copper",F27=3,F28=250,F29="38 x 5"),19.3,IF(AND(F26="Copper",F27=3,F28=250,F29="38 x 6"),23.2,IF(AND(F26="Copper",F27=3,F28=250,F29="50 x 3"),15.2,IF(AND(F26="Copper",F27=3,F28=250,F29="50 x 4"),20.3,IF(AND(F26="Copper",F27=3,F28=250,F29="50 x 6"),30.5,IF(AND(F26="Copper",F27=3,F28=450,F29="20 x 3"),7.6,IF(AND(F26="Copper",F27=3,F28=450,F29="25 x 3"),9.5,IF(AND(F26="Copper",F27=3,F28=150,F29="25 x 4"),12.7,IF(AND(F26="Copper",F27=3,F28=450,F29="25 x 6"),19.1,IF(AND(F26="Copper",F27=3,F28=450,F29="31 x 3"),11.8,IF(AND(F26="Copper",F27=3,F28=450,F29="31 x 6"),23.6,IF(AND(F26="Copper",F27=3,F28=450,F29="38 x 3"),14.5,IF(AND(F26="Copper",F27=3,F28=450,F29="38 x 5"),24.1,IF(AND(F26="Copper",F27=3,F28=450,F29="38 x 6"),29,IF(AND(F26="Copper",F27=3,F28=450,F29="50 x 3"),19.1,IF(AND(F26="Copper",F27=3,F28=450,F29="50 x 4"),25.4,IF(AND(F26="Copper",F27=3,F28=450,F29="50 x 6"),38.1,IF(AND(F26="Copper",F27=3,F28=500,F29="20 x 3"),7.9,IF(AND(F26="Copper",F27=3,F28=500,F29="25 x 3"),9.9,IF(AND(F26="Copper",F27=3,F28=500,F29="25 x 4"),13.2,IF(AND(F26="Copper",F27=3,F28=500,F29="25 x 6"),19.7,IF(AND(F26="Copper",F27=3,F28=500,F29="31 x 3"),12.2,IF(AND(F26="Copper",F27=3,F28=500,F29="31 x 6"),24.5,IF(AND(F26="Copper",F27=3,F28=500,F29="38 x 3"),15,IF(AND(F26="Copper",F27=3,F28=500,F29="38 x 5"),25,IF(AND(F26="Copper",F27=3,F28=500,F29="38 x 6"),30,IF(AND(F26="Copper",F27=3,F28=500,F29="50 x 3"),19.7,IF(AND(F26="Copper",F27=3,F28=500,F29="50 x 4"),26.3,IF(AND(F26="Copper",F27=3,F28=500,F29="50 x 6"),39.5,""))))))))))))))))))))))))))))))))))))))))))))))))))))))))))))</f>
        <v/>
      </c>
    </row>
    <row r="35" spans="5:6" s="34" customFormat="1" x14ac:dyDescent="0.25"/>
    <row r="36" spans="5:6" s="34" customFormat="1" x14ac:dyDescent="0.25"/>
    <row r="37" spans="5:6" s="34" customFormat="1" ht="21.75" customHeight="1" x14ac:dyDescent="0.25">
      <c r="E37" s="91"/>
    </row>
    <row r="38" spans="5:6" ht="18.75" x14ac:dyDescent="0.3">
      <c r="E38" s="100" t="s">
        <v>135</v>
      </c>
      <c r="F38" s="34"/>
    </row>
    <row r="39" spans="5:6" x14ac:dyDescent="0.25">
      <c r="E39" s="91"/>
    </row>
    <row r="40" spans="5:6" ht="15.75" x14ac:dyDescent="0.25">
      <c r="E40" s="109" t="s">
        <v>78</v>
      </c>
      <c r="F40" s="95">
        <v>10</v>
      </c>
    </row>
    <row r="41" spans="5:6" ht="15.75" x14ac:dyDescent="0.25">
      <c r="E41" s="109" t="s">
        <v>207</v>
      </c>
      <c r="F41" s="95">
        <v>50</v>
      </c>
    </row>
    <row r="42" spans="5:6" ht="15.75" x14ac:dyDescent="0.25">
      <c r="E42" s="110"/>
      <c r="F42" s="96"/>
    </row>
    <row r="43" spans="5:6" ht="15.75" x14ac:dyDescent="0.25">
      <c r="E43" s="107" t="s">
        <v>79</v>
      </c>
      <c r="F43" s="108">
        <f>1000*POWER(57.7/(F40*F41),1/2)</f>
        <v>339.70575502926062</v>
      </c>
    </row>
    <row r="44" spans="5:6" s="34" customFormat="1" x14ac:dyDescent="0.25">
      <c r="E44" s="91"/>
      <c r="F44" s="91"/>
    </row>
    <row r="45" spans="5:6" s="34" customFormat="1" x14ac:dyDescent="0.25"/>
    <row r="46" spans="5:6" s="34" customFormat="1" ht="23.25" customHeight="1" x14ac:dyDescent="0.25"/>
    <row r="47" spans="5:6" ht="18.75" x14ac:dyDescent="0.3">
      <c r="E47" s="100" t="s">
        <v>136</v>
      </c>
    </row>
    <row r="48" spans="5:6" x14ac:dyDescent="0.25">
      <c r="E48" s="87"/>
      <c r="F48" s="34"/>
    </row>
    <row r="49" spans="5:6" ht="20.25" customHeight="1" x14ac:dyDescent="0.25">
      <c r="E49" s="101" t="s">
        <v>39</v>
      </c>
      <c r="F49" s="13" t="s">
        <v>40</v>
      </c>
    </row>
    <row r="50" spans="5:6" ht="17.25" customHeight="1" x14ac:dyDescent="0.25">
      <c r="E50" s="101" t="s">
        <v>84</v>
      </c>
      <c r="F50" s="13" t="s">
        <v>86</v>
      </c>
    </row>
    <row r="51" spans="5:6" x14ac:dyDescent="0.25">
      <c r="E51" s="87"/>
      <c r="F51" s="97"/>
    </row>
    <row r="52" spans="5:6" ht="22.5" customHeight="1" x14ac:dyDescent="0.25">
      <c r="E52" s="102" t="s">
        <v>88</v>
      </c>
      <c r="F52" s="105" t="str">
        <f>IF(AND(F49="Copper",F50="Solid tape"),"50 mm²,      2 mm min. thickness",IF(AND(F49="Copper",F50="Solid round"),"50 mm²,      8 mm diameter",IF(AND(F49="Copper",F50="Stranded"),"50 mm²,      1.7 mm min. diameter of each strand",IF(AND(F49="Tin plated copper",F50="Solid tape"),"50 mm²,      2 mm min. thickness",IF(AND(F49="Tin plated copper",F50="Solid round"),"50 mm²,      8 mm diameter",IF(AND(F49="Tin plated copper",F50="Stranded"),"50 mm²,      1.7 mm min. diameter of each strand",IF(AND(F49="Aluminium",F50="Solid tape"),"70 mm²,      3 mm min. thickness",IF(AND(F49="Aluminium",F50="Solid round"),"50 mm²,      8 mm diameter",IF(AND(F49="Aluminium",F50="Stranded"),"50 mm²,      1.7 mm min. diameter of each strand",IF(AND(F49="Aluminium alloy",F50="Solid tape"),"50 mm²,      2.5 mm min. thickness",IF(AND(F49="Alumiuim alloy",F50="Solid round"),"50 mm²,      8 mm diameter",IF(AND(F49="Alumiuim alloy",F50="Stranded"),"50 mm²,      1.7 mm min. diameter of each strand",IF(AND(F49="Galvanized steel",F50="Solid tape"),"50 mm²,      2.5 mm min. thickness",IF(AND(F49="Galvanized steel",F50="Solid round"),"50 mm²,      8 mm diameter",IF(AND(F49="Galvanized steel",F50="Stranded"),"50 mm²,      1.7 mm min. diameter of each strand",IF(AND(F49="Stainless steel",F50="Solid tape"),"50 mm²,      2 mm min. thickness",IF(AND(F49="Stainless steel",F50="Solid round"),"50 mm²,      8 mm diameter",IF(AND(F49="Stainless steel",F50="Stranded"),"50 mm²,      1.7 mm min. diameter of each strand"))))))))))))))))))</f>
        <v>50 mm²,      8 mm diameter</v>
      </c>
    </row>
    <row r="53" spans="5:6" ht="48.75" customHeight="1" thickBot="1" x14ac:dyDescent="0.3">
      <c r="E53" s="99" t="s">
        <v>13</v>
      </c>
      <c r="F53" s="98" t="str">
        <f>IF(F49="Tin plated copper","Hot dipped or electroplated; minimum thickness coating of 1 µm",IF(F49="Galvanized steel"," The coating should be smooth continuous and free from flux stains with a min. weight of 350 g/m² for solid round material and 500 g/m² for solid tape material. The coating can be measured with a sample length of appox. 200 mm.",IF(F49="Stainless steel","Chromium ≥ 16%; Nickel ≥ 8%; Carbon ≤ 0.07%.","")))</f>
        <v/>
      </c>
    </row>
    <row r="54" spans="5:6" ht="92.25" customHeight="1" thickTop="1" x14ac:dyDescent="0.25">
      <c r="E54" s="87"/>
      <c r="F54" s="106" t="str">
        <f>IF(F50="Solid round","50 mm² (8 mm diameter) may be reduced to 28 mm² (6 mm diameter) in certain applications where mechanical strength is not an essential requirement. Consideration should in this case, be given to reducing the spacing of the fasteners.",IF(AND(F50="Solid tape",F49="Stainless steel"),"If thermal and mechanical considerations are important then these values should be increased to 78 mm² (10 mm diameter) for solid round and 75 mm² (3 mm minimum thickness) for solid tape.",""))</f>
        <v>50 mm² (8 mm diameter) may be reduced to 28 mm² (6 mm diameter) in certain applications where mechanical strength is not an essential requirement. Consideration should in this case, be given to reducing the spacing of the fasteners.</v>
      </c>
    </row>
    <row r="55" spans="5:6" ht="84.75" customHeight="1" x14ac:dyDescent="0.25">
      <c r="E55" s="91"/>
      <c r="F55" s="103" t="str">
        <f>IF(F50="Solid round","Applicable for air termination rods only. For applications where mechanical stress such as wind loading is not critical, a 10 mm diameter, 1 m long maximum air termination rod may be used. Applicable for earth lead-in rods only.","")</f>
        <v>Applicable for air termination rods only. For applications where mechanical stress such as wind loading is not critical, a 10 mm diameter, 1 m long maximum air termination rod may be used. Applicable for earth lead-in rods only.</v>
      </c>
    </row>
    <row r="56" spans="5:6" x14ac:dyDescent="0.25">
      <c r="E56" s="91"/>
      <c r="F56" s="104"/>
    </row>
    <row r="57" spans="5:6" x14ac:dyDescent="0.25">
      <c r="E57" s="34"/>
      <c r="F57" s="34"/>
    </row>
    <row r="58" spans="5:6" s="34" customFormat="1" x14ac:dyDescent="0.25"/>
    <row r="59" spans="5:6" s="34" customFormat="1" x14ac:dyDescent="0.25"/>
    <row r="60" spans="5:6" x14ac:dyDescent="0.25">
      <c r="E60" s="34"/>
      <c r="F60" s="34"/>
    </row>
    <row r="61" spans="5:6" x14ac:dyDescent="0.25">
      <c r="E61" s="34"/>
      <c r="F61" s="34"/>
    </row>
    <row r="62" spans="5:6" x14ac:dyDescent="0.25">
      <c r="E62" s="34"/>
      <c r="F62" s="34"/>
    </row>
    <row r="63" spans="5:6" x14ac:dyDescent="0.25">
      <c r="E63" s="34"/>
      <c r="F63" s="34"/>
    </row>
    <row r="64" spans="5:6" x14ac:dyDescent="0.25">
      <c r="E64" s="34"/>
      <c r="F64" s="34"/>
    </row>
    <row r="65" spans="5:6" x14ac:dyDescent="0.25">
      <c r="E65" s="34"/>
      <c r="F65" s="34"/>
    </row>
    <row r="66" spans="5:6" x14ac:dyDescent="0.25">
      <c r="E66" s="34"/>
      <c r="F66" s="34"/>
    </row>
    <row r="67" spans="5:6" x14ac:dyDescent="0.25">
      <c r="E67" s="34"/>
      <c r="F67" s="34"/>
    </row>
    <row r="68" spans="5:6" x14ac:dyDescent="0.25">
      <c r="E68" s="34"/>
      <c r="F68" s="34"/>
    </row>
    <row r="69" spans="5:6" x14ac:dyDescent="0.25">
      <c r="E69" s="34"/>
      <c r="F69" s="34"/>
    </row>
    <row r="70" spans="5:6" x14ac:dyDescent="0.25">
      <c r="E70" s="34"/>
      <c r="F70" s="34"/>
    </row>
    <row r="71" spans="5:6" x14ac:dyDescent="0.25">
      <c r="E71" s="34"/>
      <c r="F71" s="34"/>
    </row>
    <row r="72" spans="5:6" x14ac:dyDescent="0.25">
      <c r="E72" s="34"/>
      <c r="F72" s="34"/>
    </row>
    <row r="73" spans="5:6" x14ac:dyDescent="0.25">
      <c r="E73" s="34"/>
      <c r="F73" s="34"/>
    </row>
    <row r="74" spans="5:6" x14ac:dyDescent="0.25">
      <c r="E74" s="34"/>
      <c r="F74" s="34"/>
    </row>
    <row r="75" spans="5:6" x14ac:dyDescent="0.25">
      <c r="E75" s="34"/>
      <c r="F75" s="34"/>
    </row>
    <row r="76" spans="5:6" x14ac:dyDescent="0.25">
      <c r="E76" s="34"/>
      <c r="F76" s="34"/>
    </row>
    <row r="77" spans="5:6" x14ac:dyDescent="0.25">
      <c r="E77" s="34"/>
      <c r="F77" s="34"/>
    </row>
  </sheetData>
  <sheetProtection algorithmName="SHA-512" hashValue="JguMUwZNQTUYrvUfveFs1H5rrcRX5PYo5+WYyDjvnv45AnLDkD4GySIIRsC4CoiYD1iy+yl422vtLQ64r/R6BA==" saltValue="ctnpUk/MZUkWDLJkCTBPgg==" spinCount="100000" sheet="1" selectLockedCells="1"/>
  <conditionalFormatting sqref="F13:F15">
    <cfRule type="expression" dxfId="48" priority="1">
      <formula>$F$12="Yes"</formula>
    </cfRule>
    <cfRule type="expression" dxfId="47" priority="2">
      <formula>$F$12="YES"</formula>
    </cfRule>
  </conditionalFormatting>
  <dataValidations count="9">
    <dataValidation type="list" allowBlank="1" showInputMessage="1" showErrorMessage="1" sqref="F9" xr:uid="{00000000-0002-0000-0300-000000000000}">
      <formula1>Mat</formula1>
    </dataValidation>
    <dataValidation type="list" allowBlank="1" showInputMessage="1" showErrorMessage="1" sqref="F10" xr:uid="{00000000-0002-0000-0300-000001000000}">
      <formula1>Max_T</formula1>
    </dataValidation>
    <dataValidation type="list" allowBlank="1" showInputMessage="1" showErrorMessage="1" sqref="F12" xr:uid="{00000000-0002-0000-0300-000002000000}">
      <formula1>yes</formula1>
    </dataValidation>
    <dataValidation type="list" allowBlank="1" showInputMessage="1" showErrorMessage="1" sqref="F26" xr:uid="{00000000-0002-0000-0300-000003000000}">
      <formula1>cop</formula1>
    </dataValidation>
    <dataValidation type="list" allowBlank="1" showInputMessage="1" showErrorMessage="1" sqref="F27" xr:uid="{00000000-0002-0000-0300-000004000000}">
      <formula1>s</formula1>
    </dataValidation>
    <dataValidation type="list" allowBlank="1" showInputMessage="1" showErrorMessage="1" sqref="F28" xr:uid="{00000000-0002-0000-0300-000005000000}">
      <formula1>T</formula1>
    </dataValidation>
    <dataValidation type="list" allowBlank="1" showInputMessage="1" showErrorMessage="1" sqref="F29" xr:uid="{00000000-0002-0000-0300-000006000000}">
      <formula1>INDIRECT($F26)</formula1>
    </dataValidation>
    <dataValidation type="list" allowBlank="1" showInputMessage="1" showErrorMessage="1" sqref="F49" xr:uid="{00000000-0002-0000-0300-000007000000}">
      <formula1>Material</formula1>
    </dataValidation>
    <dataValidation type="list" allowBlank="1" showInputMessage="1" showErrorMessage="1" sqref="F50" xr:uid="{00000000-0002-0000-0300-000008000000}">
      <formula1>Configuration</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1"/>
  <sheetViews>
    <sheetView topLeftCell="E1" zoomScaleNormal="100" workbookViewId="0">
      <selection activeCell="F7" sqref="F7"/>
    </sheetView>
  </sheetViews>
  <sheetFormatPr defaultRowHeight="15" x14ac:dyDescent="0.25"/>
  <cols>
    <col min="1" max="5" width="9.140625" style="33"/>
    <col min="6" max="6" width="73.42578125" customWidth="1"/>
    <col min="7" max="7" width="16.7109375" customWidth="1"/>
    <col min="8" max="8" width="27.42578125" customWidth="1"/>
    <col min="9" max="9" width="17.5703125" customWidth="1"/>
    <col min="10" max="10" width="17.7109375" customWidth="1"/>
    <col min="11" max="12" width="9.140625" style="33"/>
  </cols>
  <sheetData>
    <row r="1" spans="3:10" s="33" customFormat="1" x14ac:dyDescent="0.25"/>
    <row r="2" spans="3:10" ht="21" x14ac:dyDescent="0.35">
      <c r="F2" s="6" t="s">
        <v>34</v>
      </c>
      <c r="G2" s="33"/>
      <c r="H2" s="33"/>
      <c r="I2" s="33"/>
      <c r="J2" s="33"/>
    </row>
    <row r="3" spans="3:10" s="33" customFormat="1" x14ac:dyDescent="0.25"/>
    <row r="4" spans="3:10" s="33" customFormat="1" x14ac:dyDescent="0.25"/>
    <row r="5" spans="3:10" s="33" customFormat="1" x14ac:dyDescent="0.25"/>
    <row r="6" spans="3:10" ht="21" customHeight="1" thickBot="1" x14ac:dyDescent="0.3">
      <c r="F6" s="5" t="s">
        <v>312</v>
      </c>
      <c r="G6" s="33"/>
      <c r="H6" s="7" t="s">
        <v>13</v>
      </c>
      <c r="I6" s="33"/>
      <c r="J6" s="33"/>
    </row>
    <row r="7" spans="3:10" ht="31.5" customHeight="1" thickTop="1" thickBot="1" x14ac:dyDescent="0.3">
      <c r="F7" s="134" t="s">
        <v>22</v>
      </c>
      <c r="H7" s="70" t="str">
        <f>IF(F7="Buried horizontal wire","length 2 L, depth s/2",IF(F7="Right-angle turn of wire","length of arm L, depth s/2",IF(F7="Three-point star","length of arm L, depth s/2",IF(F7="Four-point star","length of arm L, depth s/2",IF(F7="Six-point star","length of arm L, depth s/2",IF(F7="Eight-point star","length of arm L, depth s/2",IF(F7="Ring of wire","depth s/2",IF(F7="Buried horizontal strip","length 2L, section a by b, depth s/2,  b &lt; a/8",IF(OR(F7="Buried horizontal round plate",F7="Buried vertical round plate"),"depth s/2","")))))))))</f>
        <v/>
      </c>
      <c r="J7" s="33"/>
    </row>
    <row r="8" spans="3:10" s="33" customFormat="1" ht="18.75" customHeight="1" thickTop="1" x14ac:dyDescent="0.25"/>
    <row r="9" spans="3:10" s="33" customFormat="1" ht="21" customHeight="1" x14ac:dyDescent="0.25"/>
    <row r="10" spans="3:10" s="33" customFormat="1" x14ac:dyDescent="0.25"/>
    <row r="11" spans="3:10" ht="21" customHeight="1" x14ac:dyDescent="0.25">
      <c r="F11" s="5" t="s">
        <v>37</v>
      </c>
      <c r="G11" s="9" t="s">
        <v>18</v>
      </c>
      <c r="H11" s="3"/>
      <c r="I11" s="41" t="s">
        <v>19</v>
      </c>
    </row>
    <row r="12" spans="3:10" ht="21.75" customHeight="1" x14ac:dyDescent="0.25">
      <c r="C12" s="33">
        <v>39.399900000000002</v>
      </c>
      <c r="F12" s="139" t="s">
        <v>319</v>
      </c>
      <c r="G12" s="140">
        <v>20</v>
      </c>
      <c r="H12" s="33"/>
      <c r="I12" s="8">
        <f>IF(F7="Hemisphere",G12/(2*PI()*G13),IF(F7="One ground rod",(LN(4*G14/G13)-1)*(G12/(2*PI()*G14)),IF(F7="Two ground rods   s &gt; L",((G12/(4*PI()*G14))*(LN(4*G14/G13)-1))+((G12/(4*PI()*G15))*(1-((G14^2)/(3*(G15^2)))+((2/5)*((G14^4)/(G15^4))))),IF(F7="Two ground rods   s &lt; L",(G12/(4*PI()*G14))*(LN(4*G14/G13)+LN(4*G14/G15)-2+(G15/(2*G14))-(G15^2/(16*G14^2))+(G15^4/(512*G14^4))),IF(F7="Buried horizontal wire",(G12/(4*PI()*G14))*(LN(4*G14/G13)+LN(4*G14/H15)-2+(H15/(2*G14))-(H15^2/(16*G14^2))+(H15^4/(512*G14^4))),IF(F7="Right-angle turn of wire",(G12/(4*PI()*G14))*(LN(2*G14/G13)+LN(2*G14/H15)-0.2373+(0.2146*H15/G14)+(0.1035*H15^2/G14^2)-(0.0424*H15^4/G14^4)),IF(F7="Three-point star",(G12/(6*PI()*G14))*(LN(2*G14/G13)+LN(2*G14/H15)+1.071-(0.209*H15/G14)+(0.238*H15^2/G14^2)-(0.054*H15^4/G14^4)),IF(F7="Four-point star",(G12/(8*PI()*G14))*(LN(2*G14/G13)+LN(2*G14/H15)+2.912-(1.071*H15/G14)+(0.645*H15^2/G14^2)-(0.145*H15^4/G14^4)),IF(F7="Six-point star",(G12/(12*PI()*G14))*(LN(2*G14/G13)+LN(2*G14/H15)+6.851-(3.128*H15/G14)+(1.758*H15^2/G14^2)-(0.49*H15^4/G14^4)),IF(F7="Eight-point star",(G12/(16*PI()*G14))*(LN(2*G14/G13)+LN(2*G14/H15)+10.98-(5.51*H15/G14)+(3.26*H15^2/G14^2)-(1.17*H15^4/G14^4)),IF(F7="Ring of wire",(G12/(2*(PI()^2)*G17))*(LN(8*G17/G16)+LN(4*G17/H15)),IF(F7="Buried horizontal strip",(G12/(4*PI()*G14))*(LN(4*G14/G13)+(((G13^2)-(PI()*G13*G16))/(2*(G13+G16)^2))+LN(4*G14/H15)-1+(H15/(2*G14))-(H15^2/(16*G14^2))+(H15^4/(512*G14^4))),IF(F7="Buried horizontal round plate",(G12/(8*G13))+(G12/(4*PI()*H15))*(1-(7*G13^2/(12*H15^2))+(33*G13^4/(40*H15^4))),IF(F7="Buried vertical round plate",(G12/(8*G13))+(G12/(4*PI()*H15))*(1+(7*G13^2/(24*G15^2))+(99*G13^4/(320*H15^4)))))))))))))))))</f>
        <v>11.926165751434993</v>
      </c>
      <c r="J12" s="4" t="s">
        <v>12</v>
      </c>
    </row>
    <row r="13" spans="3:10" ht="24" customHeight="1" x14ac:dyDescent="0.25">
      <c r="F13" s="139" t="str">
        <f>IF(F7="Buried horizontal strip","section   a,  in metres (m)","a     the radius of the rod, in metres (m)")</f>
        <v>a     the radius of the rod, in metres (m)</v>
      </c>
      <c r="G13" s="140">
        <v>8.0000000000000002E-3</v>
      </c>
      <c r="H13" s="33" t="str">
        <f>IF(I12&lt;0,"Resistance cannot be negative, ensure you enter correct values for input parameters.","")</f>
        <v/>
      </c>
      <c r="I13" s="170" t="str">
        <f>IF(I12&lt;5,"Satisfactory for R&lt;5 ohm, continue with initial design",IF(I12&gt;5,"Does not comply for 5 ohms. Review and modify design"))</f>
        <v>Does not comply for 5 ohms. Review and modify design</v>
      </c>
      <c r="J13" s="33"/>
    </row>
    <row r="14" spans="3:10" ht="21" customHeight="1" x14ac:dyDescent="0.25">
      <c r="F14" s="139" t="s">
        <v>313</v>
      </c>
      <c r="G14" s="140">
        <v>1.5</v>
      </c>
      <c r="H14" s="33"/>
      <c r="I14" s="33"/>
      <c r="J14" s="33"/>
    </row>
    <row r="15" spans="3:10" ht="21" customHeight="1" x14ac:dyDescent="0.25">
      <c r="F15" s="139" t="str">
        <f>IF(F7="Two ground rods   s &gt; L","s     the spacing between adjacent rods, in metres (m)",IF(F7="Two ground rods   s &lt; L","s     the spacing between adjacent rods, in metres (m)","d     the depth of burial, in metres (m)"))</f>
        <v>d     the depth of burial, in metres (m)</v>
      </c>
      <c r="G15" s="140">
        <v>1</v>
      </c>
      <c r="H15" s="167">
        <f>G15*2</f>
        <v>2</v>
      </c>
      <c r="I15" s="33"/>
      <c r="J15" s="33"/>
    </row>
    <row r="16" spans="3:10" ht="22.5" customHeight="1" x14ac:dyDescent="0.25">
      <c r="F16" s="139" t="str">
        <f>IF(F7="Ring of wire","d     the diameter of wire, in metres (m)",IF(F7="Buried horizontal strip","b     the shorter side of the strip,  in metres (m)",""))</f>
        <v/>
      </c>
      <c r="G16" s="141">
        <v>1E-4</v>
      </c>
      <c r="H16" s="33" t="str">
        <f>IF(F7="Buried horizontal strip"," b &lt; a/8","")</f>
        <v/>
      </c>
      <c r="I16" s="33"/>
      <c r="J16" s="33"/>
    </row>
    <row r="17" spans="6:10" ht="20.25" customHeight="1" x14ac:dyDescent="0.25">
      <c r="F17" s="142" t="str">
        <f>IF(F7="Ring of wire","D    the diameter of ring, in metres (m)","")</f>
        <v/>
      </c>
      <c r="G17" s="143">
        <v>3</v>
      </c>
      <c r="H17" s="33"/>
      <c r="I17" s="33"/>
      <c r="J17" s="33"/>
    </row>
    <row r="18" spans="6:10" ht="18.75" customHeight="1" x14ac:dyDescent="0.25">
      <c r="F18" s="135"/>
      <c r="G18" s="136"/>
      <c r="H18" s="33"/>
      <c r="I18" s="33"/>
      <c r="J18" s="33"/>
    </row>
    <row r="19" spans="6:10" s="33" customFormat="1" x14ac:dyDescent="0.25">
      <c r="G19" s="34"/>
    </row>
    <row r="20" spans="6:10" s="33" customFormat="1" x14ac:dyDescent="0.25">
      <c r="G20" s="34"/>
    </row>
    <row r="21" spans="6:10" ht="23.25" customHeight="1" x14ac:dyDescent="0.25">
      <c r="F21" s="137" t="s">
        <v>150</v>
      </c>
      <c r="G21" s="34"/>
      <c r="H21" s="33"/>
      <c r="I21" s="33"/>
      <c r="J21" s="33"/>
    </row>
    <row r="22" spans="6:10" ht="21" customHeight="1" x14ac:dyDescent="0.25">
      <c r="F22" s="61" t="s">
        <v>152</v>
      </c>
      <c r="G22" s="138">
        <v>12.7</v>
      </c>
      <c r="H22" s="33"/>
      <c r="I22" s="33"/>
      <c r="J22" s="33"/>
    </row>
    <row r="23" spans="6:10" ht="24.75" customHeight="1" x14ac:dyDescent="0.25">
      <c r="F23" s="61" t="s">
        <v>153</v>
      </c>
      <c r="G23" s="138">
        <v>43000</v>
      </c>
      <c r="H23" s="33"/>
      <c r="I23" s="33"/>
      <c r="J23" s="33"/>
    </row>
    <row r="24" spans="6:10" ht="21.75" customHeight="1" x14ac:dyDescent="0.25">
      <c r="F24" s="61" t="s">
        <v>154</v>
      </c>
      <c r="G24" s="138">
        <v>3</v>
      </c>
      <c r="H24" s="33"/>
      <c r="I24" s="33"/>
      <c r="J24" s="33"/>
    </row>
    <row r="25" spans="6:10" x14ac:dyDescent="0.25">
      <c r="H25" s="33"/>
      <c r="I25" s="33"/>
      <c r="J25" s="33"/>
    </row>
    <row r="26" spans="6:10" ht="18.75" x14ac:dyDescent="0.3">
      <c r="F26" s="18" t="s">
        <v>155</v>
      </c>
      <c r="G26" s="19">
        <f>IF(AND(G22=12.7,G24=1),G23/288,IF(AND(G22=12.7,G24=12),(1.16*G23)/288,IF(AND(G22=12.7,G24=3),(1.29*G23)/288,IF(AND(G22=12.7,G24=4),(1.36*G23)/288,IF(AND(G22=12.7,G24=8),(1.68*G23)/288,IF(AND(G22=12.7,G24=12),(1.8*G23)/288,IF(AND(G22=12.7,G24=16),(1.92*G23)/288,IF(AND(G22=12.7,G24=20),(2*G23)/288,IF(AND(G22=12.7,G24=24),(2.16*G23)/288,IF(AND(G22=15.88,G24=1),(G23)/298,IF(AND(G22=15.88,G24=2),(1.16*G23)/298,IF(AND(G22=15.88,G24=3),(1.29*G23)/298,IF(AND(G22=15.88,G24=4),(1.36*G23)/298,IF(AND(G22=15.88,G24=8),(1.68*G23)/298,IF(AND(G22=15.88,G24=12),(1.8*G23)/298,IF(AND(G22=15.88,G24=16),(1.92*G23)/298,IF(AND(G22=15.88,G24=20),(2*G23)/298,IF(AND(G22=15.88,G24=24),(2.16*G23)/298,IF(AND(G22=19.05,G24=1),G23/307,IF(AND(G22=19.05,G24=2),(1.16*G23)/307,IF(AND(G22=19.05,G24=3),(1.29*G23)/307,IF(AND(G22=19.05,G24=4),(1.36*G23)/307,IF(AND(G22=19.05,G24=8),(1.68*G23)/307,IF(AND(G22=19.05,G24=12),(1.8*G23)/307,IF(AND(G22=19.05,G24=16),(1.92*G23)/307,IF(AND(G22=19.05,G24=20),(2*G23)/307,IF(AND(G22=19.05,G24=24),(2.16*G23)/307,"")))))))))))))))))))))))))))</f>
        <v>192.60416666666666</v>
      </c>
      <c r="H26" s="33"/>
      <c r="I26" s="33"/>
      <c r="J26" s="33"/>
    </row>
    <row r="27" spans="6:10" s="33" customFormat="1" x14ac:dyDescent="0.25">
      <c r="G27" s="170" t="str">
        <f>IF(G26&lt;5,"Satisfactor, continue with initial design",IF(G26&gt;5,"Does not comply for 5 ohms. Review and modify design"))</f>
        <v>Does not comply for 5 ohms. Review and modify design</v>
      </c>
    </row>
    <row r="28" spans="6:10" s="33" customFormat="1" x14ac:dyDescent="0.25"/>
    <row r="29" spans="6:10" s="33" customFormat="1" x14ac:dyDescent="0.25"/>
    <row r="30" spans="6:10" s="33" customFormat="1" x14ac:dyDescent="0.25"/>
    <row r="31" spans="6:10" s="33" customFormat="1" x14ac:dyDescent="0.25"/>
    <row r="32" spans="6:10" s="33" customFormat="1" x14ac:dyDescent="0.25"/>
    <row r="33" spans="6:10" s="33" customFormat="1" x14ac:dyDescent="0.25"/>
    <row r="34" spans="6:10" s="33" customFormat="1" x14ac:dyDescent="0.25"/>
    <row r="35" spans="6:10" x14ac:dyDescent="0.25">
      <c r="F35" s="33"/>
      <c r="G35" s="33"/>
      <c r="H35" s="33"/>
      <c r="I35" s="33"/>
      <c r="J35" s="33"/>
    </row>
    <row r="36" spans="6:10" x14ac:dyDescent="0.25">
      <c r="F36" s="33"/>
      <c r="G36" s="33"/>
      <c r="H36" s="33"/>
      <c r="I36" s="33"/>
      <c r="J36" s="33"/>
    </row>
    <row r="37" spans="6:10" x14ac:dyDescent="0.25">
      <c r="F37" s="33"/>
      <c r="G37" s="33"/>
      <c r="H37" s="33"/>
      <c r="I37" s="33"/>
      <c r="J37" s="33"/>
    </row>
    <row r="38" spans="6:10" x14ac:dyDescent="0.25">
      <c r="F38" s="33"/>
      <c r="G38" s="33"/>
      <c r="H38" s="33"/>
      <c r="I38" s="33"/>
      <c r="J38" s="33"/>
    </row>
    <row r="39" spans="6:10" x14ac:dyDescent="0.25">
      <c r="F39" s="33"/>
      <c r="G39" s="33"/>
      <c r="H39" s="33"/>
      <c r="I39" s="33"/>
      <c r="J39" s="33"/>
    </row>
    <row r="40" spans="6:10" x14ac:dyDescent="0.25">
      <c r="F40" s="33"/>
      <c r="G40" s="33"/>
      <c r="H40" s="33"/>
      <c r="I40" s="33"/>
      <c r="J40" s="33"/>
    </row>
    <row r="41" spans="6:10" x14ac:dyDescent="0.25">
      <c r="F41" s="33"/>
      <c r="G41" s="33"/>
      <c r="H41" s="33"/>
      <c r="I41" s="33"/>
      <c r="J41" s="33"/>
    </row>
    <row r="42" spans="6:10" x14ac:dyDescent="0.25">
      <c r="F42" s="33"/>
      <c r="G42" s="33"/>
      <c r="H42" s="33"/>
      <c r="I42" s="33"/>
      <c r="J42" s="33"/>
    </row>
    <row r="43" spans="6:10" x14ac:dyDescent="0.25">
      <c r="F43" s="33"/>
      <c r="G43" s="33"/>
      <c r="H43" s="33"/>
      <c r="I43" s="33"/>
      <c r="J43" s="33"/>
    </row>
    <row r="44" spans="6:10" x14ac:dyDescent="0.25">
      <c r="F44" s="33"/>
      <c r="G44" s="33"/>
      <c r="H44" s="33"/>
      <c r="I44" s="33"/>
      <c r="J44" s="33"/>
    </row>
    <row r="45" spans="6:10" x14ac:dyDescent="0.25">
      <c r="F45" s="33"/>
      <c r="G45" s="33"/>
      <c r="H45" s="33"/>
      <c r="I45" s="33"/>
      <c r="J45" s="33"/>
    </row>
    <row r="46" spans="6:10" x14ac:dyDescent="0.25">
      <c r="F46" s="33"/>
      <c r="G46" s="33"/>
      <c r="H46" s="33"/>
      <c r="I46" s="33"/>
      <c r="J46" s="33"/>
    </row>
    <row r="47" spans="6:10" x14ac:dyDescent="0.25">
      <c r="F47" s="33"/>
      <c r="G47" s="33"/>
      <c r="H47" s="33"/>
      <c r="I47" s="33"/>
      <c r="J47" s="33"/>
    </row>
    <row r="48" spans="6:10" x14ac:dyDescent="0.25">
      <c r="F48" s="33"/>
      <c r="G48" s="33"/>
      <c r="H48" s="33"/>
      <c r="I48" s="33"/>
      <c r="J48" s="33"/>
    </row>
    <row r="49" spans="6:10" x14ac:dyDescent="0.25">
      <c r="F49" s="33"/>
      <c r="G49" s="33"/>
      <c r="H49" s="33"/>
      <c r="I49" s="33"/>
      <c r="J49" s="33"/>
    </row>
    <row r="50" spans="6:10" x14ac:dyDescent="0.25">
      <c r="F50" s="33"/>
      <c r="G50" s="33"/>
      <c r="H50" s="33"/>
      <c r="I50" s="33"/>
      <c r="J50" s="33"/>
    </row>
    <row r="51" spans="6:10" x14ac:dyDescent="0.25">
      <c r="F51" s="33"/>
      <c r="G51" s="33"/>
      <c r="H51" s="33"/>
      <c r="I51" s="33"/>
      <c r="J51" s="33"/>
    </row>
  </sheetData>
  <sheetProtection algorithmName="SHA-512" hashValue="LgoECcutnUfQROSdO+e9vwwlawDicC8cukin1KV99r7OAYJYs35XxJBZ/jBxsa6xUcQH31ZbaVR0R38ZHLOwQA==" saltValue="eYpD48HIF47GHdLhNX5G1w==" spinCount="100000" sheet="1" selectLockedCells="1"/>
  <conditionalFormatting sqref="H18">
    <cfRule type="expression" dxfId="46" priority="8">
      <formula>$F$7="Ring of wire"</formula>
    </cfRule>
  </conditionalFormatting>
  <conditionalFormatting sqref="G16:G18">
    <cfRule type="expression" dxfId="45" priority="5">
      <formula>"F7=""Hemisphere"""</formula>
    </cfRule>
  </conditionalFormatting>
  <conditionalFormatting sqref="G12:G15">
    <cfRule type="expression" dxfId="44" priority="4">
      <formula>"F7=""Hemisphere"""</formula>
    </cfRule>
  </conditionalFormatting>
  <conditionalFormatting sqref="G16">
    <cfRule type="expression" dxfId="43" priority="3">
      <formula>$F$7="Buried horizontal strip"</formula>
    </cfRule>
  </conditionalFormatting>
  <conditionalFormatting sqref="G16:G17">
    <cfRule type="expression" dxfId="42" priority="2">
      <formula>$F$7="Ring of wire"</formula>
    </cfRule>
  </conditionalFormatting>
  <conditionalFormatting sqref="F15:G15">
    <cfRule type="expression" dxfId="41" priority="1">
      <formula>$F$7="One ground rod"</formula>
    </cfRule>
  </conditionalFormatting>
  <dataValidations count="3">
    <dataValidation type="list" allowBlank="1" showInputMessage="1" showErrorMessage="1" sqref="F7" xr:uid="{00000000-0002-0000-0400-000000000000}">
      <formula1>TypeIEEE</formula1>
    </dataValidation>
    <dataValidation type="list" allowBlank="1" showInputMessage="1" showErrorMessage="1" sqref="G22" xr:uid="{00000000-0002-0000-0400-000001000000}">
      <formula1>Dia</formula1>
    </dataValidation>
    <dataValidation type="list" allowBlank="1" showInputMessage="1" showErrorMessage="1" sqref="G24" xr:uid="{00000000-0002-0000-0400-000002000000}">
      <formula1>Num</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19"/>
  <sheetViews>
    <sheetView workbookViewId="0">
      <selection activeCell="L113" sqref="L113"/>
    </sheetView>
  </sheetViews>
  <sheetFormatPr defaultRowHeight="15" x14ac:dyDescent="0.25"/>
  <cols>
    <col min="1" max="4" width="9.140625" style="33"/>
    <col min="5" max="5" width="64" customWidth="1"/>
  </cols>
  <sheetData>
    <row r="1" spans="5:13" s="33" customFormat="1" x14ac:dyDescent="0.25"/>
    <row r="2" spans="5:13" s="33" customFormat="1" x14ac:dyDescent="0.25"/>
    <row r="3" spans="5:13" s="33" customFormat="1" ht="18.75" x14ac:dyDescent="0.3">
      <c r="E3" s="38" t="s">
        <v>202</v>
      </c>
    </row>
    <row r="4" spans="5:13" x14ac:dyDescent="0.25">
      <c r="F4" s="33"/>
      <c r="G4" s="33"/>
      <c r="H4" s="33"/>
      <c r="I4" s="33"/>
      <c r="J4" s="33"/>
      <c r="K4" s="33"/>
      <c r="L4" s="33"/>
      <c r="M4" s="33"/>
    </row>
    <row r="5" spans="5:13" s="33" customFormat="1" x14ac:dyDescent="0.25">
      <c r="E5" s="60" t="s">
        <v>254</v>
      </c>
    </row>
    <row r="6" spans="5:13" x14ac:dyDescent="0.25">
      <c r="F6" s="33"/>
      <c r="G6" s="33"/>
      <c r="H6" s="33"/>
      <c r="I6" s="33"/>
      <c r="J6" s="33"/>
      <c r="K6" s="33"/>
      <c r="L6" s="33"/>
      <c r="M6" s="33"/>
    </row>
    <row r="7" spans="5:13" ht="15.75" x14ac:dyDescent="0.25">
      <c r="E7" s="48" t="s">
        <v>228</v>
      </c>
      <c r="F7" s="49">
        <v>200</v>
      </c>
      <c r="G7" s="33"/>
      <c r="H7" s="33"/>
      <c r="I7" s="33"/>
      <c r="J7" s="33"/>
      <c r="K7" s="33"/>
      <c r="L7" s="33"/>
      <c r="M7" s="33"/>
    </row>
    <row r="8" spans="5:13" ht="15.75" x14ac:dyDescent="0.25">
      <c r="E8" s="48" t="s">
        <v>234</v>
      </c>
      <c r="F8" s="49">
        <v>0.02</v>
      </c>
      <c r="G8" s="33"/>
      <c r="H8" s="33"/>
      <c r="I8" s="33"/>
      <c r="J8" s="33"/>
      <c r="K8" s="33"/>
      <c r="L8" s="33"/>
      <c r="M8" s="33"/>
    </row>
    <row r="9" spans="5:13" ht="15.75" x14ac:dyDescent="0.25">
      <c r="E9" s="48" t="s">
        <v>233</v>
      </c>
      <c r="F9" s="49">
        <v>3</v>
      </c>
      <c r="G9" s="33"/>
      <c r="H9" s="33"/>
      <c r="I9" s="33"/>
      <c r="J9" s="33"/>
      <c r="K9" s="33"/>
      <c r="L9" s="33"/>
      <c r="M9" s="33"/>
    </row>
    <row r="10" spans="5:13" ht="15.75" x14ac:dyDescent="0.25">
      <c r="E10" s="48" t="s">
        <v>235</v>
      </c>
      <c r="F10" s="49">
        <v>4</v>
      </c>
      <c r="G10" s="33"/>
      <c r="H10" s="33"/>
      <c r="I10" s="33"/>
      <c r="J10" s="33"/>
      <c r="K10" s="33"/>
      <c r="L10" s="33"/>
      <c r="M10" s="33"/>
    </row>
    <row r="11" spans="5:13" ht="15.75" x14ac:dyDescent="0.25">
      <c r="E11" s="48" t="s">
        <v>236</v>
      </c>
      <c r="F11" s="49">
        <v>0.03</v>
      </c>
      <c r="G11" s="33"/>
      <c r="H11" s="33"/>
      <c r="I11" s="33"/>
      <c r="J11" s="33"/>
      <c r="K11" s="33"/>
      <c r="L11" s="33"/>
      <c r="M11" s="33"/>
    </row>
    <row r="12" spans="5:13" x14ac:dyDescent="0.25">
      <c r="G12" s="33"/>
      <c r="H12" s="33"/>
      <c r="I12" s="33"/>
      <c r="J12" s="33"/>
      <c r="K12" s="33"/>
      <c r="L12" s="33"/>
      <c r="M12" s="33"/>
    </row>
    <row r="13" spans="5:13" ht="15.75" x14ac:dyDescent="0.25">
      <c r="E13" s="62" t="s">
        <v>239</v>
      </c>
      <c r="F13" s="62">
        <f>F7*((1/(4*F8))+(1/F9))</f>
        <v>2566.666666666667</v>
      </c>
      <c r="G13" s="33"/>
      <c r="H13" s="33"/>
      <c r="I13" s="33"/>
      <c r="J13" s="33"/>
      <c r="K13" s="33"/>
      <c r="L13" s="33"/>
      <c r="M13" s="33"/>
    </row>
    <row r="14" spans="5:13" ht="15.75" x14ac:dyDescent="0.25">
      <c r="E14" s="62"/>
      <c r="F14" s="62"/>
      <c r="G14" s="33"/>
      <c r="H14" s="33"/>
      <c r="I14" s="33"/>
      <c r="J14" s="33"/>
      <c r="K14" s="33"/>
      <c r="L14" s="33"/>
      <c r="M14" s="33"/>
    </row>
    <row r="15" spans="5:13" ht="15.75" x14ac:dyDescent="0.25">
      <c r="E15" s="62" t="s">
        <v>237</v>
      </c>
      <c r="F15" s="62">
        <f>F7*((1/F9)+((1+(F8/(F8+(2.5*F10))))/(8*F8)))</f>
        <v>1319.1616766467066</v>
      </c>
      <c r="G15" s="33"/>
      <c r="H15" s="33"/>
      <c r="I15" s="33"/>
      <c r="J15" s="33"/>
      <c r="K15" s="33"/>
      <c r="L15" s="33"/>
      <c r="M15" s="33"/>
    </row>
    <row r="16" spans="5:13" ht="15.75" x14ac:dyDescent="0.25">
      <c r="E16" s="62"/>
      <c r="F16" s="62"/>
      <c r="G16" s="33"/>
      <c r="H16" s="33"/>
      <c r="I16" s="33"/>
      <c r="J16" s="33"/>
      <c r="K16" s="33"/>
      <c r="L16" s="33"/>
      <c r="M16" s="33"/>
    </row>
    <row r="17" spans="5:13" ht="15.75" x14ac:dyDescent="0.25">
      <c r="E17" s="62" t="s">
        <v>238</v>
      </c>
      <c r="F17" s="62">
        <f>F7*((1/F9)+((1/(20*F11)^0.5)*(1+(1/(1+F10*(20/F11)^0.5)))))</f>
        <v>327.34158239534975</v>
      </c>
      <c r="G17" s="33"/>
      <c r="H17" s="33"/>
      <c r="I17" s="33"/>
      <c r="J17" s="33"/>
      <c r="K17" s="33"/>
      <c r="L17" s="33"/>
      <c r="M17" s="33"/>
    </row>
    <row r="18" spans="5:13" s="33" customFormat="1" x14ac:dyDescent="0.25"/>
    <row r="19" spans="5:13" s="33" customFormat="1" x14ac:dyDescent="0.25"/>
    <row r="20" spans="5:13" s="33" customFormat="1" x14ac:dyDescent="0.25"/>
    <row r="21" spans="5:13" x14ac:dyDescent="0.25">
      <c r="E21" s="20" t="s">
        <v>241</v>
      </c>
      <c r="F21" s="33"/>
      <c r="G21" s="33"/>
      <c r="H21" s="33"/>
      <c r="I21" s="33"/>
      <c r="J21" s="33"/>
      <c r="K21" s="33"/>
      <c r="L21" s="33"/>
      <c r="M21" s="33"/>
    </row>
    <row r="22" spans="5:13" x14ac:dyDescent="0.25">
      <c r="F22" s="33"/>
      <c r="G22" s="33"/>
      <c r="H22" s="33"/>
      <c r="I22" s="33"/>
      <c r="J22" s="33"/>
      <c r="K22" s="33"/>
      <c r="L22" s="33"/>
      <c r="M22" s="33"/>
    </row>
    <row r="23" spans="5:13" ht="15.75" x14ac:dyDescent="0.25">
      <c r="E23" s="46" t="s">
        <v>204</v>
      </c>
      <c r="F23" s="33"/>
      <c r="G23" s="33"/>
      <c r="H23" s="33"/>
      <c r="I23" s="33"/>
      <c r="J23" s="33"/>
      <c r="K23" s="33"/>
      <c r="L23" s="33"/>
      <c r="M23" s="33"/>
    </row>
    <row r="24" spans="5:13" x14ac:dyDescent="0.25">
      <c r="F24" s="33"/>
      <c r="G24" s="33"/>
      <c r="H24" s="33"/>
      <c r="I24" s="33"/>
      <c r="J24" s="33"/>
      <c r="K24" s="33"/>
      <c r="L24" s="33"/>
      <c r="M24" s="33"/>
    </row>
    <row r="25" spans="5:13" ht="15.75" x14ac:dyDescent="0.25">
      <c r="E25" s="48" t="s">
        <v>228</v>
      </c>
      <c r="F25" s="63">
        <v>200</v>
      </c>
      <c r="G25" s="33"/>
      <c r="H25" s="33"/>
      <c r="I25" s="33"/>
      <c r="J25" s="33"/>
      <c r="K25" s="33"/>
      <c r="L25" s="33"/>
      <c r="M25" s="33"/>
    </row>
    <row r="26" spans="5:13" ht="15.75" x14ac:dyDescent="0.25">
      <c r="E26" s="48" t="s">
        <v>246</v>
      </c>
      <c r="F26" s="63">
        <v>0.03</v>
      </c>
      <c r="G26" s="33"/>
      <c r="H26" s="33"/>
      <c r="I26" s="33"/>
      <c r="J26" s="33"/>
      <c r="K26" s="33"/>
      <c r="L26" s="33"/>
      <c r="M26" s="33"/>
    </row>
    <row r="27" spans="5:13" ht="15.75" x14ac:dyDescent="0.25">
      <c r="E27" s="48" t="s">
        <v>240</v>
      </c>
      <c r="F27" s="63">
        <v>2</v>
      </c>
      <c r="G27" s="33"/>
      <c r="H27" s="33"/>
      <c r="I27" s="33"/>
      <c r="J27" s="33"/>
      <c r="K27" s="33"/>
      <c r="L27" s="33"/>
      <c r="M27" s="33"/>
    </row>
    <row r="28" spans="5:13" ht="15.75" x14ac:dyDescent="0.25">
      <c r="E28" s="48" t="s">
        <v>247</v>
      </c>
      <c r="F28" s="63">
        <v>2.3E-2</v>
      </c>
      <c r="G28" s="33"/>
      <c r="H28" s="33"/>
      <c r="I28" s="33"/>
      <c r="J28" s="33"/>
      <c r="K28" s="33"/>
      <c r="L28" s="33"/>
      <c r="M28" s="33"/>
    </row>
    <row r="29" spans="5:13" x14ac:dyDescent="0.25">
      <c r="G29" s="33"/>
      <c r="H29" s="33"/>
      <c r="I29" s="33"/>
      <c r="J29" s="33"/>
      <c r="K29" s="33"/>
      <c r="L29" s="33"/>
      <c r="M29" s="33"/>
    </row>
    <row r="30" spans="5:13" ht="15.75" x14ac:dyDescent="0.25">
      <c r="E30" s="62" t="s">
        <v>245</v>
      </c>
      <c r="F30" s="62">
        <f>IF(E23="Ellipsoid",(F25/(2*PI()*F28*F27))*LN(4*F27/F26),IF(E23="Uniform current",(F25/(2*PI()*F28*F27))*(LN(8*F27/F26)-1),IF(E23="Cylinder",(F25/(2*PI()*F28*F27))*LN(2*F27/F26))))</f>
        <v>3385.7461858654324</v>
      </c>
      <c r="G30" s="33"/>
      <c r="H30" s="33"/>
      <c r="I30" s="64"/>
      <c r="J30" s="33"/>
      <c r="K30" s="33"/>
      <c r="L30" s="33"/>
      <c r="M30" s="33"/>
    </row>
    <row r="31" spans="5:13" ht="15.75" x14ac:dyDescent="0.25">
      <c r="E31" s="62" t="str">
        <f>IF(E23="Uniform current","Another formula for Uniform current Resistance (Ω)","")</f>
        <v/>
      </c>
      <c r="F31" s="62" t="str">
        <f>IF(E23="Uniform current",(F25/(2*PI()*F28*F27))*LN(8*F27/(2.718*F26)),"")</f>
        <v/>
      </c>
      <c r="G31" s="33"/>
      <c r="H31" s="33"/>
      <c r="I31" s="33"/>
      <c r="J31" s="33"/>
      <c r="K31" s="33"/>
      <c r="L31" s="33"/>
      <c r="M31" s="33"/>
    </row>
    <row r="32" spans="5:13" ht="15.75" x14ac:dyDescent="0.25">
      <c r="E32" s="62" t="str">
        <f>IF(E23="Uniform current","Another simplified formula Resistance (Ω)","")</f>
        <v/>
      </c>
      <c r="F32" s="62" t="str">
        <f>IF(E23="Uniform current",(F25/(2*PI()*F28*F27))*LN(3*F27/F26),"")</f>
        <v/>
      </c>
      <c r="G32" s="33"/>
      <c r="H32" s="33"/>
      <c r="I32" s="64"/>
      <c r="J32" s="33"/>
      <c r="K32" s="33"/>
      <c r="L32" s="33"/>
      <c r="M32" s="33"/>
    </row>
    <row r="33" spans="5:13" x14ac:dyDescent="0.25">
      <c r="E33" s="33"/>
      <c r="F33" s="33"/>
      <c r="G33" s="33"/>
      <c r="H33" s="33"/>
      <c r="I33" s="33"/>
      <c r="J33" s="33"/>
      <c r="K33" s="33"/>
      <c r="L33" s="33"/>
      <c r="M33" s="33"/>
    </row>
    <row r="34" spans="5:13" x14ac:dyDescent="0.25">
      <c r="E34" s="33"/>
      <c r="F34" s="33"/>
      <c r="G34" s="33"/>
      <c r="H34" s="33"/>
      <c r="I34" s="33"/>
      <c r="J34" s="33"/>
      <c r="K34" s="33"/>
      <c r="L34" s="33"/>
      <c r="M34" s="33"/>
    </row>
    <row r="35" spans="5:13" x14ac:dyDescent="0.25">
      <c r="E35" s="33"/>
      <c r="F35" s="33"/>
      <c r="G35" s="33"/>
      <c r="H35" s="33"/>
      <c r="I35" s="33"/>
      <c r="J35" s="33"/>
      <c r="K35" s="33"/>
      <c r="L35" s="33"/>
      <c r="M35" s="33"/>
    </row>
    <row r="36" spans="5:13" ht="18.75" x14ac:dyDescent="0.3">
      <c r="E36" s="38" t="s">
        <v>191</v>
      </c>
      <c r="G36" s="33"/>
      <c r="H36" s="33"/>
      <c r="I36" s="33"/>
      <c r="J36" s="33"/>
      <c r="K36" s="33"/>
      <c r="L36" s="33"/>
      <c r="M36" s="33"/>
    </row>
    <row r="37" spans="5:13" x14ac:dyDescent="0.25">
      <c r="E37" s="1" t="s">
        <v>248</v>
      </c>
      <c r="G37" s="33"/>
      <c r="H37" s="33"/>
      <c r="I37" s="33"/>
      <c r="J37" s="33"/>
      <c r="K37" s="33"/>
      <c r="L37" s="33"/>
      <c r="M37" s="33"/>
    </row>
    <row r="38" spans="5:13" s="33" customFormat="1" x14ac:dyDescent="0.25"/>
    <row r="39" spans="5:13" s="33" customFormat="1" x14ac:dyDescent="0.25"/>
    <row r="40" spans="5:13" x14ac:dyDescent="0.25">
      <c r="E40" s="33"/>
      <c r="F40" s="33"/>
      <c r="G40" s="33"/>
      <c r="H40" s="33"/>
      <c r="I40" s="33"/>
      <c r="J40" s="33"/>
      <c r="K40" s="33"/>
      <c r="L40" s="33"/>
      <c r="M40" s="33"/>
    </row>
    <row r="41" spans="5:13" ht="15.75" x14ac:dyDescent="0.25">
      <c r="E41" s="48" t="s">
        <v>249</v>
      </c>
      <c r="F41" s="65">
        <v>24</v>
      </c>
      <c r="G41" s="33"/>
      <c r="H41" s="33"/>
      <c r="I41" s="33"/>
      <c r="J41" s="33"/>
      <c r="K41" s="33"/>
      <c r="L41" s="33"/>
      <c r="M41" s="33"/>
    </row>
    <row r="42" spans="5:13" ht="15.75" x14ac:dyDescent="0.25">
      <c r="E42" s="48" t="s">
        <v>250</v>
      </c>
      <c r="F42" s="65">
        <v>2.25</v>
      </c>
      <c r="G42" s="33"/>
      <c r="H42" s="33"/>
      <c r="I42" s="33"/>
      <c r="J42" s="33"/>
      <c r="K42" s="33"/>
      <c r="L42" s="33"/>
      <c r="M42" s="33"/>
    </row>
    <row r="43" spans="5:13" ht="15.75" x14ac:dyDescent="0.25">
      <c r="E43" s="48" t="s">
        <v>251</v>
      </c>
      <c r="F43" s="65">
        <v>4</v>
      </c>
      <c r="G43" s="33"/>
      <c r="H43" s="33"/>
      <c r="I43" s="33"/>
      <c r="J43" s="33"/>
      <c r="K43" s="33"/>
      <c r="L43" s="33"/>
      <c r="M43" s="33"/>
    </row>
    <row r="44" spans="5:13" ht="15.75" x14ac:dyDescent="0.25">
      <c r="E44" s="48" t="s">
        <v>252</v>
      </c>
      <c r="F44" s="65">
        <v>2</v>
      </c>
      <c r="G44" s="33"/>
      <c r="H44" s="33"/>
      <c r="I44" s="33"/>
      <c r="J44" s="33"/>
      <c r="K44" s="33"/>
      <c r="L44" s="33"/>
      <c r="M44" s="33"/>
    </row>
    <row r="45" spans="5:13" x14ac:dyDescent="0.25">
      <c r="G45" s="33"/>
      <c r="H45" s="33"/>
      <c r="I45" s="33"/>
      <c r="J45" s="33"/>
      <c r="K45" s="33"/>
      <c r="L45" s="33"/>
      <c r="M45" s="33"/>
    </row>
    <row r="46" spans="5:13" ht="15.75" x14ac:dyDescent="0.25">
      <c r="E46" s="53" t="s">
        <v>253</v>
      </c>
      <c r="F46" s="53">
        <f>(0.347*F41)/((F43^0.414)*(F44^0.517)*(F42^0.43))</f>
        <v>2.3132197390468208</v>
      </c>
      <c r="G46" s="33"/>
      <c r="H46" s="33"/>
      <c r="I46" s="33"/>
      <c r="J46" s="33"/>
      <c r="K46" s="33"/>
      <c r="L46" s="33"/>
      <c r="M46" s="33"/>
    </row>
    <row r="47" spans="5:13" s="33" customFormat="1" x14ac:dyDescent="0.25"/>
    <row r="48" spans="5:13" s="33" customFormat="1" x14ac:dyDescent="0.25"/>
    <row r="49" spans="5:13" s="33" customFormat="1" x14ac:dyDescent="0.25">
      <c r="E49" s="58"/>
    </row>
    <row r="50" spans="5:13" ht="18.75" x14ac:dyDescent="0.3">
      <c r="E50" s="38" t="s">
        <v>193</v>
      </c>
      <c r="H50" s="33"/>
      <c r="I50" s="33"/>
      <c r="J50" s="33"/>
      <c r="K50" s="33"/>
      <c r="L50" s="33"/>
      <c r="M50" s="33"/>
    </row>
    <row r="51" spans="5:13" s="33" customFormat="1" x14ac:dyDescent="0.25">
      <c r="E51" s="58" t="s">
        <v>194</v>
      </c>
    </row>
    <row r="52" spans="5:13" s="33" customFormat="1" x14ac:dyDescent="0.25">
      <c r="E52" s="58"/>
    </row>
    <row r="53" spans="5:13" ht="15.75" x14ac:dyDescent="0.25">
      <c r="E53" s="48" t="s">
        <v>255</v>
      </c>
      <c r="F53" s="63">
        <v>200</v>
      </c>
      <c r="G53" s="33"/>
      <c r="H53" s="33"/>
      <c r="I53" s="33"/>
      <c r="J53" s="33"/>
      <c r="K53" s="33"/>
      <c r="L53" s="33"/>
      <c r="M53" s="33"/>
    </row>
    <row r="54" spans="5:13" ht="15.75" x14ac:dyDescent="0.25">
      <c r="E54" s="48" t="s">
        <v>256</v>
      </c>
      <c r="F54" s="63">
        <v>3</v>
      </c>
      <c r="G54" s="33"/>
      <c r="H54" s="33"/>
      <c r="I54" s="33"/>
      <c r="J54" s="33"/>
      <c r="K54" s="33"/>
      <c r="L54" s="33"/>
      <c r="M54" s="33"/>
    </row>
    <row r="55" spans="5:13" ht="15.75" x14ac:dyDescent="0.25">
      <c r="E55" s="48" t="s">
        <v>257</v>
      </c>
      <c r="F55" s="63">
        <v>2.3E-2</v>
      </c>
      <c r="G55" s="33"/>
      <c r="H55" s="33"/>
      <c r="I55" s="33"/>
      <c r="J55" s="33"/>
      <c r="K55" s="33"/>
      <c r="L55" s="33"/>
      <c r="M55" s="33"/>
    </row>
    <row r="56" spans="5:13" x14ac:dyDescent="0.25">
      <c r="G56" s="33"/>
      <c r="H56" s="33"/>
      <c r="I56" s="33"/>
      <c r="J56" s="33"/>
      <c r="K56" s="33"/>
      <c r="L56" s="33"/>
      <c r="M56" s="33"/>
    </row>
    <row r="57" spans="5:13" ht="15.75" x14ac:dyDescent="0.25">
      <c r="E57" s="53" t="s">
        <v>258</v>
      </c>
      <c r="F57" s="53">
        <f>LN(4*F54/F55)*(F53/(2*PI()*F54))</f>
        <v>66.390611416910161</v>
      </c>
      <c r="G57" s="33"/>
      <c r="H57" s="33"/>
      <c r="I57" s="33"/>
      <c r="J57" s="33"/>
      <c r="K57" s="33"/>
      <c r="L57" s="33"/>
      <c r="M57" s="33"/>
    </row>
    <row r="58" spans="5:13" x14ac:dyDescent="0.25">
      <c r="E58" s="33"/>
      <c r="G58" s="33"/>
      <c r="H58" s="33"/>
      <c r="I58" s="33"/>
      <c r="J58" s="33"/>
      <c r="K58" s="33"/>
      <c r="L58" s="33"/>
      <c r="M58" s="33"/>
    </row>
    <row r="59" spans="5:13" s="33" customFormat="1" x14ac:dyDescent="0.25"/>
    <row r="60" spans="5:13" s="33" customFormat="1" x14ac:dyDescent="0.25"/>
    <row r="61" spans="5:13" s="33" customFormat="1" x14ac:dyDescent="0.25"/>
    <row r="62" spans="5:13" s="33" customFormat="1" x14ac:dyDescent="0.25"/>
    <row r="63" spans="5:13" ht="18.75" x14ac:dyDescent="0.3">
      <c r="E63" s="38" t="s">
        <v>200</v>
      </c>
      <c r="H63" s="33"/>
      <c r="I63" s="33"/>
      <c r="J63" s="33"/>
      <c r="K63" s="33"/>
      <c r="L63" s="33"/>
      <c r="M63" s="33"/>
    </row>
    <row r="64" spans="5:13" x14ac:dyDescent="0.25">
      <c r="E64" s="58" t="s">
        <v>270</v>
      </c>
      <c r="F64" s="33"/>
      <c r="G64" s="33"/>
      <c r="H64" s="33"/>
      <c r="I64" s="33"/>
      <c r="J64" s="33"/>
      <c r="K64" s="33"/>
      <c r="L64" s="33"/>
      <c r="M64" s="33"/>
    </row>
    <row r="65" spans="5:13" ht="15.75" x14ac:dyDescent="0.25">
      <c r="E65" s="48" t="s">
        <v>294</v>
      </c>
      <c r="F65" s="63">
        <v>300</v>
      </c>
      <c r="G65" s="33"/>
      <c r="H65" s="33"/>
      <c r="I65" s="33"/>
      <c r="J65" s="33"/>
      <c r="K65" s="33"/>
      <c r="L65" s="33"/>
      <c r="M65" s="33"/>
    </row>
    <row r="66" spans="5:13" ht="15.75" x14ac:dyDescent="0.25">
      <c r="E66" s="48" t="s">
        <v>292</v>
      </c>
      <c r="F66" s="63">
        <v>3</v>
      </c>
      <c r="G66" s="33"/>
      <c r="H66" s="33"/>
      <c r="I66" s="33"/>
      <c r="J66" s="33"/>
      <c r="K66" s="33"/>
      <c r="L66" s="33"/>
      <c r="M66" s="33"/>
    </row>
    <row r="67" spans="5:13" ht="15.75" x14ac:dyDescent="0.25">
      <c r="E67" s="48" t="s">
        <v>293</v>
      </c>
      <c r="F67" s="63">
        <v>0.03</v>
      </c>
      <c r="G67" s="33"/>
      <c r="H67" s="33"/>
      <c r="I67" s="33"/>
      <c r="J67" s="33"/>
      <c r="K67" s="33"/>
      <c r="L67" s="33"/>
      <c r="M67" s="33"/>
    </row>
    <row r="68" spans="5:13" x14ac:dyDescent="0.25">
      <c r="G68" s="33"/>
      <c r="H68" s="33"/>
      <c r="I68" s="33"/>
      <c r="J68" s="33"/>
      <c r="K68" s="33"/>
      <c r="L68" s="33"/>
      <c r="M68" s="33"/>
    </row>
    <row r="69" spans="5:13" ht="15.75" x14ac:dyDescent="0.25">
      <c r="E69" s="53" t="s">
        <v>269</v>
      </c>
      <c r="F69" s="53">
        <f>(LN(8*F66/F67)-1)*(F65/(2*PI()*F66))</f>
        <v>90.473405601650981</v>
      </c>
      <c r="G69" s="33"/>
      <c r="H69" s="33"/>
      <c r="I69" s="33"/>
      <c r="J69" s="33"/>
      <c r="K69" s="33"/>
      <c r="L69" s="33"/>
      <c r="M69" s="33"/>
    </row>
    <row r="70" spans="5:13" s="33" customFormat="1" x14ac:dyDescent="0.25"/>
    <row r="71" spans="5:13" x14ac:dyDescent="0.25">
      <c r="E71" s="1" t="s">
        <v>259</v>
      </c>
      <c r="F71" s="33"/>
      <c r="G71" s="33"/>
      <c r="H71" s="33"/>
      <c r="I71" s="33"/>
      <c r="J71" s="33"/>
      <c r="K71" s="33"/>
      <c r="L71" s="33"/>
      <c r="M71" s="33"/>
    </row>
    <row r="72" spans="5:13" ht="15.75" x14ac:dyDescent="0.25">
      <c r="E72" s="48" t="s">
        <v>261</v>
      </c>
      <c r="F72" s="63">
        <v>300</v>
      </c>
      <c r="G72" s="33"/>
      <c r="H72" s="33"/>
      <c r="I72" s="33"/>
      <c r="J72" s="33"/>
      <c r="K72" s="33"/>
      <c r="L72" s="33"/>
      <c r="M72" s="33"/>
    </row>
    <row r="73" spans="5:13" ht="15.75" x14ac:dyDescent="0.25">
      <c r="E73" s="48" t="s">
        <v>262</v>
      </c>
      <c r="F73" s="63">
        <v>2</v>
      </c>
      <c r="G73" s="33"/>
      <c r="H73" s="33"/>
      <c r="I73" s="33"/>
      <c r="J73" s="33"/>
      <c r="K73" s="33"/>
      <c r="L73" s="33"/>
      <c r="M73" s="33"/>
    </row>
    <row r="74" spans="5:13" ht="15.75" x14ac:dyDescent="0.25">
      <c r="E74" s="48" t="s">
        <v>263</v>
      </c>
      <c r="F74" s="63">
        <v>2.4E-2</v>
      </c>
      <c r="G74" s="33"/>
      <c r="H74" s="33"/>
      <c r="I74" s="33"/>
      <c r="J74" s="33"/>
      <c r="K74" s="33"/>
      <c r="L74" s="33"/>
      <c r="M74" s="33"/>
    </row>
    <row r="75" spans="5:13" ht="15.75" x14ac:dyDescent="0.25">
      <c r="E75" s="48" t="s">
        <v>260</v>
      </c>
      <c r="F75" s="63">
        <v>4</v>
      </c>
      <c r="G75" s="33"/>
      <c r="H75" s="33"/>
      <c r="I75" s="33"/>
      <c r="J75" s="33"/>
      <c r="K75" s="33"/>
      <c r="L75" s="33"/>
      <c r="M75" s="33"/>
    </row>
    <row r="76" spans="5:13" ht="15.75" x14ac:dyDescent="0.25">
      <c r="E76" s="48" t="s">
        <v>268</v>
      </c>
      <c r="F76" s="63">
        <v>4.2</v>
      </c>
      <c r="G76" s="33"/>
      <c r="H76" s="33"/>
      <c r="I76" s="33"/>
      <c r="J76" s="33"/>
      <c r="K76" s="33"/>
      <c r="L76" s="33"/>
      <c r="M76" s="33"/>
    </row>
    <row r="77" spans="5:13" ht="15.75" x14ac:dyDescent="0.25">
      <c r="E77" s="48" t="s">
        <v>264</v>
      </c>
      <c r="F77" s="63">
        <v>3</v>
      </c>
      <c r="G77" s="33"/>
      <c r="H77" s="33"/>
      <c r="I77" s="33"/>
      <c r="J77" s="33"/>
      <c r="K77" s="33"/>
      <c r="L77" s="33"/>
      <c r="M77" s="33"/>
    </row>
    <row r="78" spans="5:13" ht="15.75" x14ac:dyDescent="0.25">
      <c r="E78" s="48" t="s">
        <v>265</v>
      </c>
      <c r="F78" s="63">
        <f>((4*F76)+(F77^2))^0.5</f>
        <v>5.0793700396801178</v>
      </c>
      <c r="G78" s="33"/>
      <c r="H78" s="33"/>
      <c r="I78" s="33"/>
      <c r="J78" s="33"/>
      <c r="K78" s="33"/>
      <c r="L78" s="33"/>
      <c r="M78" s="33"/>
    </row>
    <row r="79" spans="5:13" ht="15.75" x14ac:dyDescent="0.25">
      <c r="E79" s="48" t="s">
        <v>266</v>
      </c>
      <c r="F79" s="63">
        <f>(F74*F75*F77*F78)^0.25</f>
        <v>1.0997667499058987</v>
      </c>
      <c r="G79" s="33"/>
      <c r="H79" s="33"/>
      <c r="I79" s="33"/>
      <c r="J79" s="33"/>
      <c r="K79" s="33"/>
      <c r="L79" s="33"/>
      <c r="M79" s="33"/>
    </row>
    <row r="80" spans="5:13" x14ac:dyDescent="0.25">
      <c r="G80" s="33"/>
      <c r="H80" s="33"/>
      <c r="I80" s="33"/>
      <c r="J80" s="33"/>
      <c r="K80" s="33"/>
      <c r="L80" s="33"/>
      <c r="M80" s="33"/>
    </row>
    <row r="81" spans="5:13" ht="15.75" x14ac:dyDescent="0.25">
      <c r="E81" s="53" t="s">
        <v>269</v>
      </c>
      <c r="F81" s="53">
        <f>(F72/(PI()*F73))*(LN(2*F73/F79)-1)</f>
        <v>13.903596747707812</v>
      </c>
      <c r="G81" s="33"/>
      <c r="H81" s="33"/>
      <c r="I81" s="33"/>
      <c r="J81" s="33"/>
      <c r="K81" s="33"/>
      <c r="L81" s="33"/>
      <c r="M81" s="33"/>
    </row>
    <row r="82" spans="5:13" s="33" customFormat="1" x14ac:dyDescent="0.25"/>
    <row r="83" spans="5:13" x14ac:dyDescent="0.25">
      <c r="E83" s="1" t="s">
        <v>267</v>
      </c>
      <c r="G83" s="33"/>
      <c r="H83" s="33"/>
      <c r="I83" s="33"/>
      <c r="J83" s="33"/>
      <c r="K83" s="33"/>
      <c r="L83" s="33"/>
      <c r="M83" s="33"/>
    </row>
    <row r="84" spans="5:13" ht="15.75" x14ac:dyDescent="0.25">
      <c r="E84" s="59" t="s">
        <v>261</v>
      </c>
      <c r="F84" s="63">
        <v>200</v>
      </c>
      <c r="G84" s="33"/>
      <c r="H84" s="33"/>
      <c r="I84" s="33"/>
      <c r="J84" s="33"/>
      <c r="K84" s="33"/>
      <c r="L84" s="33"/>
      <c r="M84" s="33"/>
    </row>
    <row r="85" spans="5:13" ht="15.75" x14ac:dyDescent="0.25">
      <c r="E85" s="59" t="s">
        <v>260</v>
      </c>
      <c r="F85" s="63">
        <v>3</v>
      </c>
      <c r="G85" s="33"/>
      <c r="H85" s="33"/>
      <c r="I85" s="33"/>
      <c r="J85" s="33"/>
      <c r="K85" s="33"/>
      <c r="L85" s="33"/>
      <c r="M85" s="33"/>
    </row>
    <row r="86" spans="5:13" ht="15.75" x14ac:dyDescent="0.25">
      <c r="E86" s="59" t="s">
        <v>262</v>
      </c>
      <c r="F86" s="63">
        <v>2</v>
      </c>
      <c r="G86" s="33"/>
      <c r="H86" s="33"/>
      <c r="I86" s="33"/>
      <c r="J86" s="33"/>
      <c r="K86" s="33"/>
      <c r="L86" s="33"/>
      <c r="M86" s="33"/>
    </row>
    <row r="87" spans="5:13" ht="15.75" x14ac:dyDescent="0.25">
      <c r="E87" s="59" t="s">
        <v>263</v>
      </c>
      <c r="F87" s="63">
        <v>0.03</v>
      </c>
      <c r="G87" s="33"/>
      <c r="H87" s="33"/>
      <c r="I87" s="33"/>
      <c r="J87" s="33"/>
      <c r="K87" s="33"/>
      <c r="L87" s="33"/>
      <c r="M87" s="33"/>
    </row>
    <row r="88" spans="5:13" x14ac:dyDescent="0.25">
      <c r="G88" s="33"/>
      <c r="H88" s="33"/>
      <c r="I88" s="33"/>
      <c r="J88" s="33"/>
      <c r="K88" s="33"/>
      <c r="L88" s="33"/>
      <c r="M88" s="33"/>
    </row>
    <row r="89" spans="5:13" ht="15.75" x14ac:dyDescent="0.25">
      <c r="E89" s="53" t="s">
        <v>269</v>
      </c>
      <c r="F89" s="53">
        <f>(F84/(PI()*F86))*(LN(4*F86/((F87*F85)^0.5))-1)</f>
        <v>72.683336058753213</v>
      </c>
      <c r="G89" s="33"/>
      <c r="H89" s="33"/>
      <c r="I89" s="33"/>
      <c r="J89" s="33"/>
      <c r="K89" s="33"/>
      <c r="L89" s="33"/>
      <c r="M89" s="33"/>
    </row>
    <row r="90" spans="5:13" s="33" customFormat="1" x14ac:dyDescent="0.25"/>
    <row r="91" spans="5:13" s="33" customFormat="1" x14ac:dyDescent="0.25"/>
    <row r="92" spans="5:13" x14ac:dyDescent="0.25">
      <c r="E92" s="58" t="s">
        <v>278</v>
      </c>
      <c r="G92" s="33"/>
      <c r="H92" s="33"/>
      <c r="I92" s="33"/>
      <c r="J92" s="33"/>
      <c r="K92" s="33"/>
      <c r="L92" s="33"/>
      <c r="M92" s="33"/>
    </row>
    <row r="93" spans="5:13" ht="15.75" x14ac:dyDescent="0.25">
      <c r="E93" s="48" t="s">
        <v>279</v>
      </c>
      <c r="F93" s="63">
        <v>300</v>
      </c>
      <c r="G93" s="33"/>
      <c r="H93" s="33"/>
      <c r="I93" s="33"/>
      <c r="J93" s="33"/>
      <c r="K93" s="33"/>
      <c r="L93" s="33"/>
      <c r="M93" s="33"/>
    </row>
    <row r="94" spans="5:13" ht="15.75" x14ac:dyDescent="0.25">
      <c r="E94" s="48" t="s">
        <v>280</v>
      </c>
      <c r="F94" s="63">
        <v>3</v>
      </c>
      <c r="G94" s="33"/>
      <c r="H94" s="33"/>
      <c r="I94" s="33"/>
      <c r="J94" s="33"/>
      <c r="K94" s="33"/>
      <c r="L94" s="33"/>
      <c r="M94" s="33"/>
    </row>
    <row r="95" spans="5:13" ht="15.75" x14ac:dyDescent="0.25">
      <c r="E95" s="48" t="s">
        <v>281</v>
      </c>
      <c r="F95" s="63">
        <v>2</v>
      </c>
      <c r="G95" s="33"/>
      <c r="H95" s="33"/>
      <c r="I95" s="33"/>
      <c r="J95" s="33"/>
      <c r="K95" s="33"/>
      <c r="L95" s="33"/>
      <c r="M95" s="33"/>
    </row>
    <row r="96" spans="5:13" ht="15.75" x14ac:dyDescent="0.25">
      <c r="E96" s="48" t="s">
        <v>282</v>
      </c>
      <c r="F96" s="63">
        <v>0.03</v>
      </c>
      <c r="G96" s="33"/>
      <c r="H96" s="33"/>
      <c r="I96" s="33"/>
      <c r="J96" s="33"/>
      <c r="K96" s="33"/>
      <c r="L96" s="33"/>
      <c r="M96" s="33"/>
    </row>
    <row r="97" spans="5:13" ht="15.75" x14ac:dyDescent="0.25">
      <c r="E97" s="48" t="s">
        <v>283</v>
      </c>
      <c r="F97" s="63">
        <v>2</v>
      </c>
      <c r="G97" s="33"/>
      <c r="H97" s="33"/>
      <c r="I97" s="33"/>
      <c r="J97" s="33"/>
      <c r="K97" s="33"/>
      <c r="L97" s="33"/>
      <c r="M97" s="33"/>
    </row>
    <row r="98" spans="5:13" ht="15.75" x14ac:dyDescent="0.25">
      <c r="E98" s="48" t="s">
        <v>284</v>
      </c>
      <c r="F98" s="63">
        <v>1.2</v>
      </c>
      <c r="G98" s="33"/>
      <c r="H98" s="33"/>
      <c r="I98" s="33"/>
      <c r="J98" s="33"/>
      <c r="K98" s="33"/>
      <c r="L98" s="33"/>
      <c r="M98" s="33"/>
    </row>
    <row r="99" spans="5:13" x14ac:dyDescent="0.25">
      <c r="G99" s="33"/>
      <c r="H99" s="33"/>
      <c r="I99" s="33"/>
      <c r="J99" s="33"/>
      <c r="K99" s="33"/>
      <c r="L99" s="33"/>
      <c r="M99" s="33"/>
    </row>
    <row r="100" spans="5:13" ht="15.75" x14ac:dyDescent="0.25">
      <c r="E100" s="53" t="s">
        <v>285</v>
      </c>
      <c r="F100" s="53">
        <f>(LN(2*F95/F94)+(F97*F95/(F96^0.5))-F98)*(F93/(PI()*F95))</f>
        <v>1059.0978184913881</v>
      </c>
      <c r="G100" s="33"/>
      <c r="H100" s="33"/>
      <c r="I100" s="33"/>
      <c r="J100" s="33"/>
      <c r="K100" s="33"/>
      <c r="L100" s="33"/>
      <c r="M100" s="33"/>
    </row>
    <row r="101" spans="5:13" s="33" customFormat="1" x14ac:dyDescent="0.25"/>
    <row r="102" spans="5:13" s="33" customFormat="1" x14ac:dyDescent="0.25"/>
    <row r="103" spans="5:13" s="33" customFormat="1" x14ac:dyDescent="0.25"/>
    <row r="104" spans="5:13" x14ac:dyDescent="0.25">
      <c r="E104" s="1" t="s">
        <v>193</v>
      </c>
      <c r="F104" s="33"/>
      <c r="G104" s="33"/>
      <c r="H104" s="33"/>
      <c r="I104" s="33"/>
      <c r="J104" s="33"/>
      <c r="K104" s="33"/>
      <c r="L104" s="33"/>
      <c r="M104" s="33"/>
    </row>
    <row r="105" spans="5:13" x14ac:dyDescent="0.25">
      <c r="E105" s="1" t="s">
        <v>286</v>
      </c>
      <c r="F105" s="33"/>
      <c r="G105" s="33"/>
      <c r="H105" s="33"/>
      <c r="I105" s="33"/>
      <c r="J105" s="33"/>
      <c r="K105" s="33"/>
      <c r="L105" s="33"/>
      <c r="M105" s="33"/>
    </row>
    <row r="106" spans="5:13" x14ac:dyDescent="0.25">
      <c r="F106" s="33"/>
      <c r="G106" s="33"/>
      <c r="H106" s="33"/>
      <c r="I106" s="33"/>
      <c r="J106" s="33"/>
      <c r="K106" s="33"/>
      <c r="L106" s="33"/>
      <c r="M106" s="33"/>
    </row>
    <row r="107" spans="5:13" ht="15.75" x14ac:dyDescent="0.25">
      <c r="E107" s="48" t="s">
        <v>291</v>
      </c>
      <c r="F107" s="63">
        <v>200</v>
      </c>
      <c r="G107" s="33"/>
      <c r="H107" s="33"/>
      <c r="I107" s="33"/>
      <c r="J107" s="33"/>
      <c r="K107" s="33"/>
      <c r="L107" s="33"/>
      <c r="M107" s="33"/>
    </row>
    <row r="108" spans="5:13" ht="15.75" x14ac:dyDescent="0.25">
      <c r="E108" s="48" t="s">
        <v>287</v>
      </c>
      <c r="F108" s="63">
        <v>2</v>
      </c>
      <c r="G108" s="33"/>
      <c r="H108" s="33"/>
      <c r="I108" s="33"/>
      <c r="J108" s="33"/>
      <c r="K108" s="33"/>
      <c r="L108" s="33"/>
      <c r="M108" s="33"/>
    </row>
    <row r="109" spans="5:13" ht="15.75" x14ac:dyDescent="0.25">
      <c r="E109" s="48" t="s">
        <v>288</v>
      </c>
      <c r="F109" s="63">
        <v>0.02</v>
      </c>
      <c r="G109" s="33"/>
      <c r="H109" s="33"/>
      <c r="I109" s="33"/>
      <c r="J109" s="33"/>
      <c r="K109" s="33"/>
      <c r="L109" s="33"/>
      <c r="M109" s="33"/>
    </row>
    <row r="110" spans="5:13" x14ac:dyDescent="0.25">
      <c r="G110" s="33"/>
      <c r="H110" s="33"/>
      <c r="I110" s="33"/>
      <c r="J110" s="33"/>
      <c r="K110" s="33"/>
      <c r="L110" s="33"/>
      <c r="M110" s="33"/>
    </row>
    <row r="111" spans="5:13" ht="15.75" x14ac:dyDescent="0.25">
      <c r="E111" s="62" t="s">
        <v>289</v>
      </c>
      <c r="F111" s="62">
        <f>LN(4*F108/F109)*(F107/(2*PI()*F108))</f>
        <v>95.357119903207931</v>
      </c>
      <c r="G111" s="33"/>
      <c r="H111" s="33"/>
      <c r="I111" s="33"/>
      <c r="J111" s="33"/>
      <c r="K111" s="33"/>
      <c r="L111" s="33"/>
      <c r="M111" s="33"/>
    </row>
    <row r="112" spans="5:13" ht="15.75" x14ac:dyDescent="0.25">
      <c r="E112" s="66" t="s">
        <v>290</v>
      </c>
      <c r="F112" s="62">
        <f>(LN(8*F108/F109)-1)*(F107/(2*PI()*F108))</f>
        <v>90.473405601650981</v>
      </c>
      <c r="G112" s="33"/>
      <c r="H112" s="33"/>
      <c r="I112" s="33"/>
      <c r="J112" s="33"/>
      <c r="K112" s="33"/>
      <c r="L112" s="33"/>
      <c r="M112" s="33"/>
    </row>
    <row r="113" spans="5:13" x14ac:dyDescent="0.25">
      <c r="F113" s="33"/>
      <c r="G113" s="33"/>
      <c r="H113" s="33"/>
      <c r="I113" s="33"/>
      <c r="J113" s="33"/>
      <c r="K113" s="33"/>
      <c r="L113" s="33"/>
      <c r="M113" s="33"/>
    </row>
    <row r="114" spans="5:13" x14ac:dyDescent="0.25">
      <c r="E114" s="33"/>
      <c r="F114" s="33"/>
      <c r="G114" s="33"/>
      <c r="H114" s="33"/>
      <c r="I114" s="33"/>
      <c r="J114" s="33"/>
      <c r="K114" s="33"/>
      <c r="L114" s="33"/>
      <c r="M114" s="33"/>
    </row>
    <row r="115" spans="5:13" x14ac:dyDescent="0.25">
      <c r="E115" s="33"/>
      <c r="F115" s="33"/>
      <c r="G115" s="33"/>
      <c r="H115" s="33"/>
      <c r="I115" s="33"/>
      <c r="J115" s="33"/>
      <c r="K115" s="33"/>
      <c r="L115" s="33"/>
      <c r="M115" s="33"/>
    </row>
    <row r="116" spans="5:13" x14ac:dyDescent="0.25">
      <c r="E116" s="33"/>
      <c r="F116" s="33"/>
      <c r="G116" s="33"/>
      <c r="H116" s="33"/>
      <c r="I116" s="33"/>
      <c r="J116" s="33"/>
      <c r="K116" s="33"/>
      <c r="L116" s="33"/>
      <c r="M116" s="33"/>
    </row>
    <row r="117" spans="5:13" x14ac:dyDescent="0.25">
      <c r="E117" s="33"/>
      <c r="F117" s="33"/>
      <c r="G117" s="33"/>
      <c r="H117" s="33"/>
      <c r="I117" s="33"/>
      <c r="J117" s="33"/>
      <c r="K117" s="33"/>
      <c r="L117" s="33"/>
      <c r="M117" s="33"/>
    </row>
    <row r="118" spans="5:13" x14ac:dyDescent="0.25">
      <c r="E118" s="33"/>
      <c r="F118" s="33"/>
      <c r="G118" s="33"/>
      <c r="H118" s="33"/>
      <c r="I118" s="33"/>
      <c r="J118" s="33"/>
      <c r="K118" s="33"/>
      <c r="L118" s="33"/>
      <c r="M118" s="33"/>
    </row>
    <row r="119" spans="5:13" x14ac:dyDescent="0.25">
      <c r="E119" s="33"/>
      <c r="F119" s="33"/>
      <c r="G119" s="33"/>
      <c r="H119" s="33"/>
    </row>
  </sheetData>
  <dataValidations count="1">
    <dataValidation type="list" allowBlank="1" showInputMessage="1" showErrorMessage="1" sqref="E23" xr:uid="{00000000-0002-0000-0500-000000000000}">
      <formula1>rod</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
  <sheetViews>
    <sheetView topLeftCell="C1" zoomScale="80" zoomScaleNormal="80" workbookViewId="0">
      <selection activeCell="E57" sqref="E57"/>
    </sheetView>
  </sheetViews>
  <sheetFormatPr defaultRowHeight="15" x14ac:dyDescent="0.25"/>
  <cols>
    <col min="1" max="1" width="4.42578125" style="33" customWidth="1"/>
    <col min="2" max="2" width="3.5703125" style="33" customWidth="1"/>
    <col min="3" max="3" width="5.140625" style="33" customWidth="1"/>
    <col min="4" max="4" width="54.42578125" customWidth="1"/>
    <col min="5" max="5" width="121.140625" customWidth="1"/>
    <col min="6" max="10" width="9.140625" style="33"/>
  </cols>
  <sheetData>
    <row r="1" spans="4:5" ht="23.25" x14ac:dyDescent="0.35">
      <c r="D1" s="37" t="s">
        <v>206</v>
      </c>
    </row>
    <row r="2" spans="4:5" s="33" customFormat="1" x14ac:dyDescent="0.25"/>
    <row r="3" spans="4:5" ht="21" x14ac:dyDescent="0.35">
      <c r="D3" s="42" t="s">
        <v>114</v>
      </c>
      <c r="E3" s="33"/>
    </row>
    <row r="4" spans="4:5" ht="11.25" customHeight="1" x14ac:dyDescent="0.25"/>
    <row r="5" spans="4:5" ht="19.5" customHeight="1" x14ac:dyDescent="0.25">
      <c r="D5" s="71" t="s">
        <v>39</v>
      </c>
      <c r="E5" s="122" t="s">
        <v>133</v>
      </c>
    </row>
    <row r="6" spans="4:5" ht="20.25" customHeight="1" x14ac:dyDescent="0.25">
      <c r="D6" s="71" t="s">
        <v>90</v>
      </c>
      <c r="E6" s="122" t="s">
        <v>100</v>
      </c>
    </row>
    <row r="7" spans="4:5" ht="18.75" customHeight="1" x14ac:dyDescent="0.25">
      <c r="D7" s="71" t="s">
        <v>96</v>
      </c>
      <c r="E7" s="122" t="s">
        <v>101</v>
      </c>
    </row>
    <row r="8" spans="4:5" x14ac:dyDescent="0.25">
      <c r="E8" s="78"/>
    </row>
    <row r="9" spans="4:5" ht="48.75" customHeight="1" x14ac:dyDescent="0.25">
      <c r="D9" s="27" t="s">
        <v>103</v>
      </c>
      <c r="E9" s="43" t="str">
        <f>IF(AND(E6="Hot.dip.galvanized.or.Stainless",E7="Strip (as rolled strip or slit strip with rounded edges)"),"Cross-sectional area = (90 mm²) ,, Thickness = (3 mm) ,,Thickness of coating/sheathing Individual value = (63 µm), Average value = (70 µm)",IF(AND(E6="Hot.dip.galvanized.or.Stainless",E7="Sections"),"Cross-sectional area = (90 mm²) ,,Thickness = (3 mm) ,, Thickness of coating/sheathing Individual value = (63 µm), Average value = (70 µm)",IF(AND(E6="Hot.dip.galvanized.or.Stainless",E7="Round rod for deep earth electrodes"),"Diameter = (16 mm) ,,  Thickness of coating/sheathing Individual value = (63 µm), Average value = (70 µm)",IF(AND(E6="Hot.dip.galvanized.or.Stainless",E7="Round wire for surface electrode, depth not exceeding 0.5m"),"Diameter = (10 mm)  ,, Thickness of coating/sheathing Average value = (50 µm)",IF(AND(E6="Hot.dip.galvanized.or.Stainless",E7="Pipe."),"Diameter = (25 mm) ,, Thickness = (2 mm) ,,Thickness of coating/sheathing Individual value = (47 µm), Average value = (55 µm)",IF(AND(E6="Copper.Sheathed",E7="Round rod for deep earth electrode"),"Diameter = (15 mm) ,, Thickness of coating/sheathing Individual value = (2000 µm)",IF(AND(E6="With.electrodeposited.copper.coating",E7="Round rod for deeep earth electrodes"),"Diameter = (14 mm) ,,Thickness of coating/sheathing Individual value = (90 µm), Average value = (100 µm)",IF(AND(E6="Bare",E7="Strip with rounded edges"),"Cross-sectional area = (50 mm²)  ,, Thickness = (2 mm)",IF(AND(E6="Bare",E7="Round wire for surface electrode with depth not exceeding 0.5m"),"Cross-sectional area = (25 mm²)",IF(AND(E6="Bare",E7="Rope,"),"Cross-sectional area = (25 mm²) ,,Diameter = (1.8 mm) for individual strands of wires",IF(AND(E6="Bare",E7="Pipe"),"Diameter = (20 mm),  Thickness = (2 mm)",IF(AND(E6="Tin.coated",E7="Rope"),"Cross- section al area = (25 mm²) ,,Diameter = (1.8 mm) for individual strands of wire ,,Thickness of coating/sheathing Individual value = (1 µm), Average value = (5 µm)",IF(AND(E6="Zinc.coated",E7="Strip"),"Cross-sectional area = (50 mm²) ,,Thickness = (2 mm) ,,Thickness of coating/sheathing Individual value = (20 µm), Average value = (40 µm)","")))))))))))))</f>
        <v>Cross- section al area = (25 mm²) ,,Diameter = (1.8 mm) for individual strands of wire ,,Thickness of coating/sheathing Individual value = (1 µm), Average value = (5 µm)</v>
      </c>
    </row>
    <row r="10" spans="4:5" ht="34.5" customHeight="1" thickBot="1" x14ac:dyDescent="0.3">
      <c r="D10" s="15" t="s">
        <v>13</v>
      </c>
      <c r="E10" s="17" t="str">
        <f>IF(AND(E6="Bare",E7="Round wire for surface electrode with depth not exceeding 0.5m"),"In case where the risk of corrosion and mechanical damage is extremely low, 16-mm² can be used. An earth electrode is considered to be a surface electrode when installed at a depth not exceeding 0.5m",IF(E6="Hot.dip.galvanized.or.Stainless","Can be used for electrodes to be embedded in concrete. No coating is applied",IF(AND(E6="Hot.dip.galvanized.or.Stainless",E7="Strip"),"As rolled strip or slit strip with rounded edges.","")))</f>
        <v/>
      </c>
    </row>
    <row r="11" spans="4:5" s="33" customFormat="1" ht="15.75" thickTop="1" x14ac:dyDescent="0.25"/>
    <row r="12" spans="4:5" s="33" customFormat="1" x14ac:dyDescent="0.25"/>
    <row r="13" spans="4:5" ht="21" x14ac:dyDescent="0.35">
      <c r="D13" s="42" t="s">
        <v>186</v>
      </c>
      <c r="E13" s="33"/>
    </row>
    <row r="14" spans="4:5" s="33" customFormat="1" x14ac:dyDescent="0.25"/>
    <row r="15" spans="4:5" s="33" customFormat="1" x14ac:dyDescent="0.25"/>
    <row r="16" spans="4:5" ht="21.75" customHeight="1" x14ac:dyDescent="0.25">
      <c r="D16" s="72" t="s">
        <v>137</v>
      </c>
      <c r="E16" s="121" t="s">
        <v>116</v>
      </c>
    </row>
    <row r="17" spans="4:5" ht="18.75" x14ac:dyDescent="0.25">
      <c r="D17" s="72" t="s">
        <v>39</v>
      </c>
      <c r="E17" s="121" t="s">
        <v>40</v>
      </c>
    </row>
    <row r="18" spans="4:5" ht="18.75" x14ac:dyDescent="0.25">
      <c r="D18" s="72" t="s">
        <v>138</v>
      </c>
      <c r="E18" s="121" t="s">
        <v>121</v>
      </c>
    </row>
    <row r="19" spans="4:5" ht="15.75" x14ac:dyDescent="0.25">
      <c r="E19" s="2"/>
    </row>
    <row r="20" spans="4:5" ht="18.75" x14ac:dyDescent="0.3">
      <c r="D20" s="28" t="s">
        <v>123</v>
      </c>
      <c r="E20" s="29" t="str">
        <f>IF(AND(E16="Not protected against corrosion",E17="Iron"),"50 mm²",IF(AND(E16="Not protected against corrosion",E17="Copper"),"25 mm²",IF(AND(E18="Mechanically protected",E17="Iron"),"10 mm²",IF(AND(E18="Mechanically protected",E17="Copper"),"2.5 mm²",IF(E18="Mechanically unprotected","16 mm²","")))))</f>
        <v>2.5 mm²</v>
      </c>
    </row>
    <row r="21" spans="4:5" s="33" customFormat="1" x14ac:dyDescent="0.25"/>
    <row r="22" spans="4:5" s="33" customFormat="1" x14ac:dyDescent="0.25"/>
    <row r="23" spans="4:5" ht="21" x14ac:dyDescent="0.35">
      <c r="D23" s="42" t="s">
        <v>134</v>
      </c>
    </row>
    <row r="24" spans="4:5" ht="22.5" customHeight="1" x14ac:dyDescent="0.25">
      <c r="D24" s="72" t="s">
        <v>124</v>
      </c>
      <c r="E24" s="121" t="s">
        <v>125</v>
      </c>
    </row>
    <row r="25" spans="4:5" ht="21" customHeight="1" x14ac:dyDescent="0.25">
      <c r="D25" s="72" t="s">
        <v>131</v>
      </c>
      <c r="E25" s="121" t="s">
        <v>129</v>
      </c>
    </row>
    <row r="26" spans="4:5" ht="12.75" customHeight="1" x14ac:dyDescent="0.25"/>
    <row r="27" spans="4:5" ht="32.25" customHeight="1" x14ac:dyDescent="0.25">
      <c r="D27" s="27" t="s">
        <v>132</v>
      </c>
      <c r="E27" s="26" t="str">
        <f>IF(AND(E24="Two (2) Exposed– conductive– parts",E25="Sheathed or Mechanically Protected")," ≥ ½ of the smaller protective conductor connecting to the exposed–conductive–part",IF(AND(E24="Exposed–conductive–part to extraneous–conductive– part",E25="Sheathed or Mechanically Protected")," ≥ ½ of the smaller protective conductor connecting to the exposed–conductive–part",IF(E25="Not Mechanically Protected"," ≥ 4 mm²",IF(AND(E24="Two (2) extraneous–parts",E25="Sheathed or Mechanically Protected"),"≥ 2.5 mm²",""))))</f>
        <v xml:space="preserve"> ≥ ½ of the smaller protective conductor connecting to the exposed–conductive–part</v>
      </c>
    </row>
    <row r="28" spans="4:5" s="33" customFormat="1" x14ac:dyDescent="0.25"/>
    <row r="29" spans="4:5" s="33" customFormat="1" x14ac:dyDescent="0.25"/>
    <row r="30" spans="4:5" ht="18.75" x14ac:dyDescent="0.3">
      <c r="D30" s="16" t="s">
        <v>139</v>
      </c>
      <c r="E30" s="33"/>
    </row>
    <row r="31" spans="4:5" s="33" customFormat="1" x14ac:dyDescent="0.25"/>
    <row r="32" spans="4:5" x14ac:dyDescent="0.25">
      <c r="D32" s="25" t="s">
        <v>187</v>
      </c>
      <c r="E32" s="33"/>
    </row>
    <row r="34" spans="4:5" ht="33" customHeight="1" x14ac:dyDescent="0.25">
      <c r="D34" s="44" t="s">
        <v>140</v>
      </c>
      <c r="E34" s="123">
        <v>16</v>
      </c>
    </row>
    <row r="35" spans="4:5" ht="37.5" x14ac:dyDescent="0.25">
      <c r="D35" s="22" t="s">
        <v>143</v>
      </c>
      <c r="E35" s="123" t="s">
        <v>76</v>
      </c>
    </row>
    <row r="36" spans="4:5" ht="33" customHeight="1" x14ac:dyDescent="0.25">
      <c r="D36" s="44" t="s">
        <v>149</v>
      </c>
      <c r="E36" s="124" t="s">
        <v>40</v>
      </c>
    </row>
    <row r="37" spans="4:5" ht="18.75" x14ac:dyDescent="0.25">
      <c r="D37" s="44" t="s">
        <v>182</v>
      </c>
      <c r="E37" s="129" t="str">
        <f>IF(E36="Copper","226",IF(E36="Aluminium","148",IF(E36="Lead","41",IF(E36="Steel","78",""))))</f>
        <v>226</v>
      </c>
    </row>
    <row r="38" spans="4:5" ht="18.75" x14ac:dyDescent="0.25">
      <c r="D38" s="73" t="s">
        <v>157</v>
      </c>
      <c r="E38" s="124" t="s">
        <v>40</v>
      </c>
    </row>
    <row r="39" spans="4:5" ht="18.75" x14ac:dyDescent="0.25">
      <c r="D39" s="73" t="s">
        <v>158</v>
      </c>
      <c r="E39" s="126" t="s">
        <v>159</v>
      </c>
    </row>
    <row r="40" spans="4:5" ht="18.75" x14ac:dyDescent="0.25">
      <c r="D40" s="74" t="str">
        <f>IF(OR(E39="insulated protective conductors not incorporated in cables and not bunched with other cables",E39="protective conductors as a core incorporated in a cable or bunched with other cables or insulated conductors"),"Conductor Insulation","")</f>
        <v>Conductor Insulation</v>
      </c>
      <c r="E40" s="125" t="s">
        <v>166</v>
      </c>
    </row>
    <row r="41" spans="4:5" ht="42" customHeight="1" x14ac:dyDescent="0.25">
      <c r="D41" s="130" t="str">
        <f>IF(OR(E40="70 °C PVC",E40="90 °C PVC"),"PVC insulated conductors of cross-sectional area &gt; 300 mm²  ?","")</f>
        <v>PVC insulated conductors of cross-sectional area &gt; 300 mm²  ?</v>
      </c>
      <c r="E41" s="125" t="s">
        <v>76</v>
      </c>
    </row>
    <row r="42" spans="4:5" ht="18.75" x14ac:dyDescent="0.3">
      <c r="D42" s="23" t="str">
        <f>IF(E39="bare protective conductors in contact with cable covering but not bunched with other cables","Cable Covering","")</f>
        <v/>
      </c>
      <c r="E42" s="125" t="s">
        <v>172</v>
      </c>
    </row>
    <row r="43" spans="4:5" ht="18.75" x14ac:dyDescent="0.3">
      <c r="D43" s="23" t="str">
        <f>IF(E39="bare conductors where there is no risk of damage to any neighbouring material by the temperature indicated","Conditions","")</f>
        <v/>
      </c>
      <c r="E43" s="125" t="s">
        <v>178</v>
      </c>
    </row>
    <row r="44" spans="4:5" ht="18.75" x14ac:dyDescent="0.3">
      <c r="D44" s="77" t="str">
        <f>IF(E39="protective conductors as a metallic layer of a cable e.g. armour, metallic sheath, concentric conductor, etc.","Cable insulation","")</f>
        <v/>
      </c>
      <c r="E44" s="127" t="s">
        <v>167</v>
      </c>
    </row>
    <row r="45" spans="4:5" x14ac:dyDescent="0.25">
      <c r="D45" s="75" t="str">
        <f>IF(E39="insulated protective conductors not incorporated in cables and not bunched with other cables","Factor k value of the protective conductor","")</f>
        <v>Factor k value of the protective conductor</v>
      </c>
      <c r="E45" s="76" t="str">
        <f>IF(AND(E40="70 °C PVC",E41="YES",E38="Copper"),"133",IF(AND(E40="90 °C PVC",E41="YES",E38="Copper"),"133",IF(AND(E40="70 °C PVC",E41="NO",E38="Copper"),"143",IF(AND(E40="90 °C PVC",E41="NO",E38="Copper"),"143",IF(AND(E40="70 °C PVC",E41="YES",E38="Aluminium"),"88",IF(AND(E40="90 °C PVC",E41="YES",E38="Aluminium"),"88",IF(AND(E40="70 °C PVC",E41="NO",E38="Aluminium"),"95",IF(AND(E40="90 °C PVC",E41="NO",E38="Aluminium"),"95",IF(AND(E40="70 °C PVC",E41="YES",E38="Steel"),"49",IF(AND(E40="90 °C PVC",E41="YES",E38="Steel"),"49",IF(AND(E40="70 °C PVC",E41="NO",E38="Steel"),"52",IF(AND(E40="90 °C PVC",E41="YES",E38="Steel"),"52",IF(AND(E39="insulated protective conductors not incorporated in cables and not bunched with other cables",E40="90 °C thermosetting",E38="Copper"),"176",IF(AND(E39="insulated protective conductors not incorporated in cables and not bunched with other cables",E40="90 °C thermosetting",E38="Aluminium"),"116",IF(AND(E39="insulated protective conductors not incorporated in cables and not bunched with other cables",E40="90 °C thermosetting",E38="Steel"),"64",IF(AND(E39="insulated protective conductors not incorporated in cables and not bunched with other cables",E40="60 °C rubber",E38="Copper"),"159",IF(AND(E39="insulated protective conductors not incorporated in cables and not bunched with other cables",E40="60 °C rubber",E38="Aluminium"),"105",IF(AND(E39="insulated protective conductors not incorporated in cables and not bunched with other cables",E40="60 °C rubber",E38="Steel"),"58",IF(AND(E39="insulated protective conductors not incorporated in cables and not bunched with other cables",E40="85 °C rubber",E38="Copper"),"166",IF(AND(E39="insulated protective conductors not incorporated in cables and not bunched with other cables",E40="85 °C rubber",E38="Aluminium"),"110",IF(AND(E39="insulated protective conductors not incorporated in cables and not bunched with other cables",E40="85 °C rubber",E38="Steel"),"60",IF(AND(E39="insulated protective conductors not incorporated in cables and not bunched with other cables",E40="Silicone rubber",E38="Copper"),"201",IF(AND(E39="insulated protective conductors not incorporated in cables and not bunched with other cables",E40="Silicone rubber",E38="Aluminium"),"133",IF(AND(E39="insulated protective conductors not incorporated in cables and not bunched with other cables",E40="Silicone rubber",E38="Steel"),"73",""))))))))))))))))))))))))</f>
        <v>133</v>
      </c>
    </row>
    <row r="46" spans="4:5" x14ac:dyDescent="0.25">
      <c r="D46" s="75" t="str">
        <f>IF(E39="protective conductors as a core incorporated in a cable or bunched with other cables or insulated conductors","Factor k value of the protective conductor","")</f>
        <v/>
      </c>
      <c r="E46" s="76" t="str">
        <f>IF(AND(E38="Copper",E40="70 °C PVC",E41="YES"),"103",IF(AND(E38="Aluminium",E40="70 °C PVC",E41="YES"),"68",IF(AND(E38="Steel",E40="70 °C PVC",E41="YES"),"37",IF(AND(E38="Copper",E40="70 °C PVC",E41="NO"),"115",IF(AND(E38="Aluminium",E40="70 °C PVC",E41="NO"),"76",IF(AND(E38="Steel",E40="70 °C PVC",E41="NO"),"42",IF(AND(E38="Copper",E40="90 °C PVC",E41="YES"),"86",IF(AND(E38="Aluminium",E40="90 °C PVC",E41="YES"),"57",IF(AND(E38="Steel",E40="90 °C PVC",E41="YES"),"31",IF(AND(E38="Copper",E40="90 °C PVC",E41="NO"),"100",IF(AND(E38="Aluminium",E40="90 °C PVC",E41="NO"),"66",IF(AND(E38="Steel",E40="90 °C PVC",E41="NO"),"36",IF(AND(E38="Copper",E40="70 °C PVC",E41="YES"),"103",IF(AND(E38="Copper",E40="90 °C thermosetting"),"143",IF(AND(E38="Aluminium",E40="90 °C thermosetting"),"94",IF(AND(E38="Steel",E40="90 °C thermosetting"),"52",IF(AND(E38="Copper",E40="60 °C rubber"),"141",IF(AND(E38="Aluminium",E40="60 °C rubber"),"93",IF(AND(E38="Steel",E40="60 °C rubber"),"51",IF(AND(E38="Copper",E40="85 °C rubber"),"134",IF(AND(E38="Aluminium",E40="85 °C rubber"),"89",IF(AND(E38="Steel",E40="85 °C rubber"),"48",IF(AND(E38="Copper",E40="Silicone rubber"),"132",IF(AND(E38="Aluminium",E40="Silicone rubber"),"87",IF(AND(E38="Steel",E40="Silicone rubber"),"47","")))))))))))))))))))))))))</f>
        <v>103</v>
      </c>
    </row>
    <row r="47" spans="4:5" x14ac:dyDescent="0.25">
      <c r="D47" s="75" t="str">
        <f>IF(OR(E39="bare protective conductors in contact with cable covering but not bunched with other cables",E39="bare conductors where there is no risk of damage to any neighbouring material by the temperature indicated"),"Factor k value of the protective conductor","")</f>
        <v/>
      </c>
      <c r="E47" s="76" t="str">
        <f>IF(AND(E39="bare protective conductors in contact with cable covering but not bunched with other cables",E38="Copper",E42="PVC"),"159",IF(AND(E38="Aluminium",E39="bare protective conductors in contact with cable covering but not bunched with other cables",E42="PVC"),"105",IF(AND(E39="bare protective conductors in contact with cable covering but not bunched with other cables",E38="Steel",E42="PVC"),"58",IF(AND(E39="bare protective conductors in contact with cable covering but not bunched with other cables",E38="Copper",E42="Polyethylene"),"138",IF(AND(E38="Aluminium",E39="bare protective conductors in contact with cable covering but not bunched with other cables",E42="Polyethylene"),"91",IF(AND(E38="Steel",E39="bare protective conductors in contact with cable covering but not bunched with other cables",E42="Polyethylene"),"50",IF(AND(E39="bare protective conductors in contact with cable covering but not bunched with other cables",E38="Steel",E42="CSP"),"60",IF(AND(E39="bare protective conductors in contact with cable covering but not bunched with other cables",E38="Aluminium",E42="CSP"),"110",IF(AND(E39="bare protective conductors in contact with cable covering but not bunched with other cables",E38="Copper",E42="CSP"),"166",IF(AND(E39="bare conductors where there is no risk of damage to any neighbouring material by the temperature indicated",E43="Visible and in restricted area",E38="Copper"),"228",IF(AND(E39="bare conductors where there is no risk of damage to any neighbouring material by the temperature indicated",E43="Visible and in restricted area",E38="Aluminium"),"125",IF(AND(E39="bare conductors where there is no risk of damage to any neighbouring material by the temperature indicated",E43="Visible and in restricted area",E38="Steel"),"82",IF(AND(E39="bare conductors where there is no risk of damage to any neighbouring material by the temperature indicated",E43="Normal conditions",E38="Copper"),"159",IF(AND(E39="bare conductors where there is no risk of damage to any neighbouring material by the temperature indicated",E43="Normal conditions",E38="Aluminium"),"105",IF(AND(E39="bare conductors where there is no risk of damage to any neighbouring material by the temperature indicated",E43="Normal conditions",E38="Steel"),"58",IF(AND(E39="bare conductors where there is no risk of damage to any neighbouring material by the temperature indicated",E43="Fire risk",E38="Copper"),"138",IF(AND(E39="bare conductors where there is no risk of damage to any neighbouring material by the temperature indicated",E43="Fire risk",E38="Aluminium"),"91",IF(AND(E39="bare conductors where there is no risk of damage to any neighbouring material by the temperature indicated",E43="Fire risk",E38="Steel"),"50",""))))))))))))))))))</f>
        <v/>
      </c>
    </row>
    <row r="48" spans="4:5" x14ac:dyDescent="0.25">
      <c r="D48" s="75" t="str">
        <f>IF(E39="protective conductors as a metallic layer of a cable e.g. armour, metallic sheath, concentric conductor, etc.","Factor k value of the protective conductor","")</f>
        <v/>
      </c>
      <c r="E48" s="76" t="str">
        <f>IF(AND(E44="70 °C PVC",E38="Copper"),"141",IF(AND(E44="70 °C PVC",E38="Aluminium"),"93",IF(AND(E44="70 °C PVC",E38="Lead"),"26",IF(AND(E44="70 °C PVC",E38="Steel"),"51",IF(AND(E44="90 °C PVC",E38="Copper"),"128",IF(AND(E44="90 °C PVC",E38="Aluminium"),"85",IF(AND(E44="90 °C PVC",E38="Lead"),"23",IF(AND(E44="90 °C PVC",E38="Steel"),"46",IF(AND(E44="90 °C thermosetting",E38="Copper"),"128",IF(AND(E44="90 °C thermosetting",E38="Aluminium"),"85",IF(AND(E44="90 °C thermosetting",E38="Lead"),"23",IF(AND(E44="90 °C thermosetting",E38="Steel"),"46",IF(AND(E44="60 °C rubber",E38="Copper"),"144",IF(AND(E44="60 °C rubber",E38="Aluminium"),"95",IF(AND(E44="60 °C rubber",E38="Lead"),"26",IF(AND(E44="60 °C rubber",E38="Steel"),"52",IF(AND(E44="85 °C rubber",E38="Copper"),"140",IF(AND(E44="85 °C rubber",E38="Aluminium"),"93",IF(AND(E44="85 °C rubber",E38="Lead"),"26",IF(AND(E44="85 °C rubber",E38="Steel"),"51",IF(AND(E44="Mineral PVC covered",E38="Copper"),"135",IF(AND(E44="Mineral bare sheath",E38="Copper"),"135",""))))))))))))))))))))))</f>
        <v>128</v>
      </c>
    </row>
    <row r="49" spans="4:5" ht="37.5" x14ac:dyDescent="0.25">
      <c r="D49" s="132" t="s">
        <v>141</v>
      </c>
      <c r="E49" s="131">
        <f>IF(AND(E34&lt;=16,E35="YES"),E34,IF(AND(E34&gt;=17,E34&lt;=35,E35="YES"),"16",IF(AND(E34&gt;35,E35="YES"),E34/2,IF(AND(E34&lt;=16,E35="NO",E39="insulated protective conductors not incorporated in cables and not bunched with other cables"),(E37*E34/E45),IF(AND(E39="insulated protective conductors not incorporated in cables and not bunched with other cables",E35="NO",E34&gt;=17,E34&lt;=35),(E37*16/E45),IF(AND(E39="insulated protective conductors not incorporated in cables and not bunched with other cables",E35="NO",E34&gt;35),(E37*E34)/(E45*2),IF(AND(E39="bare protective conductors in contact with cable covering but not bunched with other cables",E35="NO",E34&lt;=16),(E37*E34/E47),IF(AND(E39="bare protective conductors in contact with cable covering but not bunched with other cables",E35="NO",E34&gt;=17,E34&lt;=35),(E37*16/E47),IF(AND(E39="bare protective conductors in contact with cable covering but not bunched with other cables",E35="NO",E34&gt;35),(E37*E34)/(E47*2),IF(AND(E35="NO",E39="bare conductors where there is no risk of damage to any neighbouring material by the temperature indicated",E34&lt;=16),(E37*E34/E47),IF(AND(E35="NO",E39="bare conductors where there is no risk of damage to any neighbouring material by the temperature indicated",E34&gt;=17,E34&lt;=35),(E37*16/E47),IF(AND(E35="NO",E39="bare conductors where there is no risk of damage to any neighbouring material by the temperature indicated",E34&gt;35),(E37*E34)/(E47*2),IF(AND(E35="NO",E39="protective conductors as a core incorporated in a cable or bunched with other cables or insulated conductors",E34&lt;=16),(E37*E34/E46),IF(AND(E35="NO",E39="protective conductors as a core incorporated in a cable or bunched with other cables or insulated conductors",E34&gt;=17,E34&lt;=35),(E37*16/E46),IF(AND(E35="NO",E39="protective conductors as a core incorporated in a cable or bunched with other cables or insulated conductors",E34&gt;35),(E37*E34)/(E46*2),IF(AND(E35="NO",E39="protective conductors as a metallic layer of a cable e.g. armour, metallic sheath, concentric conductor, etc.",E34&lt;=16),(E37*E34)/(E48),IF(AND(E35="NO",E39="protective conductors as a metallic layer of a cable e.g. armour, metallic sheath, concentric conductor, etc.",E34&gt;=17,E34&lt;=35),(E37*16)/(E48),IF(AND(E35="NO",E39="protective conductors as a metallic layer of a cable e.g. armour, metallic sheath, concentric conductor, etc.",E34&gt;35),(E37*E34)/(E48*2),""))))))))))))))))))</f>
        <v>16</v>
      </c>
    </row>
    <row r="50" spans="4:5" s="33" customFormat="1" x14ac:dyDescent="0.25"/>
    <row r="51" spans="4:5" s="33" customFormat="1" x14ac:dyDescent="0.25"/>
    <row r="52" spans="4:5" s="33" customFormat="1" ht="30" customHeight="1" x14ac:dyDescent="0.25"/>
    <row r="53" spans="4:5" x14ac:dyDescent="0.25">
      <c r="D53" s="25" t="s">
        <v>188</v>
      </c>
      <c r="E53" s="33"/>
    </row>
    <row r="55" spans="4:5" ht="22.5" customHeight="1" x14ac:dyDescent="0.25">
      <c r="D55" s="44" t="s">
        <v>144</v>
      </c>
      <c r="E55" s="128">
        <v>1000</v>
      </c>
    </row>
    <row r="56" spans="4:5" ht="37.5" x14ac:dyDescent="0.25">
      <c r="D56" s="22" t="s">
        <v>145</v>
      </c>
      <c r="E56" s="128">
        <v>3</v>
      </c>
    </row>
    <row r="57" spans="4:5" ht="20.25" customHeight="1" x14ac:dyDescent="0.25">
      <c r="D57" s="44" t="s">
        <v>146</v>
      </c>
      <c r="E57" s="128" t="s">
        <v>40</v>
      </c>
    </row>
    <row r="59" spans="4:5" ht="37.5" x14ac:dyDescent="0.25">
      <c r="D59" s="24" t="s">
        <v>141</v>
      </c>
      <c r="E59" s="21">
        <f>IF(E57="Copper",(E55/226)*(POWER(E56,1/2)),IF(E57="Aluminium",(E55/148)*(POWER(E56,1/2)),IF(E57="Lead",(E55/41)*(POWER(E56,1/2)),IF(E57="Steel",(E55/78)*(POWER(E56,1/2)),""))))</f>
        <v>7.6639416264109608</v>
      </c>
    </row>
    <row r="60" spans="4:5" s="33" customFormat="1" x14ac:dyDescent="0.25"/>
    <row r="61" spans="4:5" s="33" customFormat="1" x14ac:dyDescent="0.25"/>
    <row r="62" spans="4:5" s="33" customFormat="1" x14ac:dyDescent="0.25"/>
    <row r="63" spans="4:5" s="33" customFormat="1" x14ac:dyDescent="0.25"/>
    <row r="64" spans="4:5" s="33" customFormat="1" x14ac:dyDescent="0.25"/>
    <row r="65" spans="4:5" x14ac:dyDescent="0.25">
      <c r="D65" s="33"/>
      <c r="E65" s="33"/>
    </row>
    <row r="66" spans="4:5" x14ac:dyDescent="0.25">
      <c r="D66" s="33"/>
      <c r="E66" s="33"/>
    </row>
    <row r="67" spans="4:5" x14ac:dyDescent="0.25">
      <c r="D67" s="33"/>
      <c r="E67" s="33"/>
    </row>
    <row r="68" spans="4:5" x14ac:dyDescent="0.25">
      <c r="D68" s="33"/>
      <c r="E68" s="33"/>
    </row>
    <row r="69" spans="4:5" x14ac:dyDescent="0.25">
      <c r="D69" s="33"/>
      <c r="E69" s="33"/>
    </row>
    <row r="70" spans="4:5" x14ac:dyDescent="0.25">
      <c r="D70" s="33"/>
      <c r="E70" s="33"/>
    </row>
    <row r="71" spans="4:5" x14ac:dyDescent="0.25">
      <c r="D71" s="33"/>
      <c r="E71" s="33"/>
    </row>
    <row r="72" spans="4:5" x14ac:dyDescent="0.25">
      <c r="D72" s="33"/>
      <c r="E72" s="33"/>
    </row>
    <row r="73" spans="4:5" x14ac:dyDescent="0.25">
      <c r="D73" s="33"/>
      <c r="E73" s="33"/>
    </row>
    <row r="74" spans="4:5" x14ac:dyDescent="0.25">
      <c r="D74" s="33"/>
      <c r="E74" s="33"/>
    </row>
    <row r="75" spans="4:5" x14ac:dyDescent="0.25">
      <c r="D75" s="33"/>
      <c r="E75" s="33"/>
    </row>
    <row r="76" spans="4:5" x14ac:dyDescent="0.25">
      <c r="D76" s="33"/>
      <c r="E76" s="33"/>
    </row>
    <row r="77" spans="4:5" x14ac:dyDescent="0.25">
      <c r="D77" s="33"/>
      <c r="E77" s="33"/>
    </row>
    <row r="78" spans="4:5" x14ac:dyDescent="0.25">
      <c r="D78" s="33"/>
      <c r="E78" s="33"/>
    </row>
    <row r="79" spans="4:5" x14ac:dyDescent="0.25">
      <c r="D79" s="33"/>
      <c r="E79" s="33"/>
    </row>
    <row r="80" spans="4:5" x14ac:dyDescent="0.25">
      <c r="D80" s="33"/>
      <c r="E80" s="33"/>
    </row>
    <row r="81" spans="4:5" x14ac:dyDescent="0.25">
      <c r="D81" s="33"/>
      <c r="E81" s="33"/>
    </row>
  </sheetData>
  <sheetProtection algorithmName="SHA-512" hashValue="P4d6f9IYNFTiObyMaSqoVt7Wihmvfx1eMKh/oWpiCyKkmhG4YiIqNFA2eIHTFqoxJWDQCkLt7BDQGUnJ11bs7Q==" saltValue="LMd7zC2LY+Y0VIpQoRaaCQ==" spinCount="100000" sheet="1" selectLockedCells="1"/>
  <conditionalFormatting sqref="D45:E45">
    <cfRule type="expression" dxfId="40" priority="11">
      <formula>"IF(OR(E39=""insulated protective conductors not incorporated in cables and not bunched with other cables"",E39=""protective conductors as a core incorporated in a cable or bunched with other cables or insulated conductors""))"</formula>
    </cfRule>
  </conditionalFormatting>
  <conditionalFormatting sqref="E36:E39">
    <cfRule type="expression" dxfId="39" priority="10">
      <formula>$E$35="NO"</formula>
    </cfRule>
  </conditionalFormatting>
  <conditionalFormatting sqref="E45">
    <cfRule type="expression" dxfId="38" priority="8">
      <formula>"IF(AND(E35=""NO"",E30=""insulated protective conductors not incorporated in cables and not bunched with other cables""))"</formula>
    </cfRule>
  </conditionalFormatting>
  <conditionalFormatting sqref="E44">
    <cfRule type="expression" dxfId="37" priority="6">
      <formula>$D$44="Cable insulation"</formula>
    </cfRule>
  </conditionalFormatting>
  <conditionalFormatting sqref="E40">
    <cfRule type="expression" dxfId="36" priority="5">
      <formula>$D$40="Conductor Insulation"</formula>
    </cfRule>
  </conditionalFormatting>
  <conditionalFormatting sqref="E41">
    <cfRule type="expression" dxfId="35" priority="3">
      <formula>$D$41="PVC insulated conductors of cross-sectional area &gt; 300 mm²  ?"</formula>
    </cfRule>
  </conditionalFormatting>
  <conditionalFormatting sqref="E42">
    <cfRule type="expression" dxfId="34" priority="2">
      <formula>$D$42="Cable Covering"</formula>
    </cfRule>
  </conditionalFormatting>
  <conditionalFormatting sqref="E43">
    <cfRule type="expression" dxfId="33" priority="1">
      <formula>$D$43="Conditions"</formula>
    </cfRule>
  </conditionalFormatting>
  <dataValidations count="14">
    <dataValidation type="list" allowBlank="1" showInputMessage="1" showErrorMessage="1" sqref="E5" xr:uid="{00000000-0002-0000-0600-000000000000}">
      <formula1>M</formula1>
    </dataValidation>
    <dataValidation type="list" allowBlank="1" showInputMessage="1" showErrorMessage="1" sqref="E6:E7" xr:uid="{00000000-0002-0000-0600-000001000000}">
      <formula1>INDIRECT($E5)</formula1>
    </dataValidation>
    <dataValidation type="list" allowBlank="1" showInputMessage="1" showErrorMessage="1" sqref="E16" xr:uid="{00000000-0002-0000-0600-000002000000}">
      <formula1>Ty</formula1>
    </dataValidation>
    <dataValidation type="list" allowBlank="1" showInputMessage="1" showErrorMessage="1" sqref="E17" xr:uid="{00000000-0002-0000-0600-000003000000}">
      <formula1>Mate</formula1>
    </dataValidation>
    <dataValidation type="list" allowBlank="1" showInputMessage="1" showErrorMessage="1" sqref="E18" xr:uid="{00000000-0002-0000-0600-000004000000}">
      <formula1>Mech</formula1>
    </dataValidation>
    <dataValidation type="list" allowBlank="1" showInputMessage="1" showErrorMessage="1" sqref="E24" xr:uid="{00000000-0002-0000-0600-000005000000}">
      <formula1>Connection</formula1>
    </dataValidation>
    <dataValidation type="list" allowBlank="1" showInputMessage="1" showErrorMessage="1" sqref="E25" xr:uid="{00000000-0002-0000-0600-000006000000}">
      <formula1>Prot</formula1>
    </dataValidation>
    <dataValidation type="list" allowBlank="1" showInputMessage="1" showErrorMessage="1" sqref="E35 E41" xr:uid="{00000000-0002-0000-0600-000007000000}">
      <formula1>Similar</formula1>
    </dataValidation>
    <dataValidation type="list" allowBlank="1" showInputMessage="1" showErrorMessage="1" sqref="E57 E36 E38" xr:uid="{00000000-0002-0000-0600-000008000000}">
      <formula1>Ma</formula1>
    </dataValidation>
    <dataValidation type="list" allowBlank="1" showInputMessage="1" showErrorMessage="1" sqref="E39" xr:uid="{00000000-0002-0000-0600-000009000000}">
      <formula1>Typ</formula1>
    </dataValidation>
    <dataValidation type="list" allowBlank="1" showInputMessage="1" showErrorMessage="1" sqref="E42" xr:uid="{00000000-0002-0000-0600-00000A000000}">
      <formula1>Covering</formula1>
    </dataValidation>
    <dataValidation type="list" allowBlank="1" showInputMessage="1" showErrorMessage="1" sqref="E43" xr:uid="{00000000-0002-0000-0600-00000B000000}">
      <formula1>Condition</formula1>
    </dataValidation>
    <dataValidation type="list" allowBlank="1" showInputMessage="1" showErrorMessage="1" sqref="E40" xr:uid="{00000000-0002-0000-0600-00000C000000}">
      <formula1>Insulation</formula1>
    </dataValidation>
    <dataValidation type="list" allowBlank="1" showInputMessage="1" showErrorMessage="1" sqref="E44" xr:uid="{00000000-0002-0000-0600-00000D000000}">
      <formula1>Cableinsul</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AF11A-A2CC-4A49-95D1-516188F2652D}">
  <dimension ref="A1:Q41"/>
  <sheetViews>
    <sheetView topLeftCell="B1" zoomScale="80" zoomScaleNormal="80" workbookViewId="0">
      <selection activeCell="F14" sqref="F14"/>
    </sheetView>
  </sheetViews>
  <sheetFormatPr defaultRowHeight="15" x14ac:dyDescent="0.25"/>
  <cols>
    <col min="1" max="2" width="9.140625" style="33"/>
    <col min="3" max="3" width="17.85546875" customWidth="1"/>
    <col min="4" max="4" width="66.85546875" customWidth="1"/>
    <col min="5" max="5" width="12.28515625" style="33" customWidth="1"/>
    <col min="6" max="8" width="9.140625" style="33"/>
  </cols>
  <sheetData>
    <row r="1" spans="3:17" s="33" customFormat="1" x14ac:dyDescent="0.25"/>
    <row r="2" spans="3:17" s="33" customFormat="1" ht="21" x14ac:dyDescent="0.35">
      <c r="D2" s="162" t="s">
        <v>333</v>
      </c>
    </row>
    <row r="3" spans="3:17" s="33" customFormat="1" x14ac:dyDescent="0.25"/>
    <row r="4" spans="3:17" x14ac:dyDescent="0.25">
      <c r="D4" s="52"/>
      <c r="I4" s="33"/>
      <c r="J4" s="33"/>
      <c r="K4" s="33"/>
      <c r="L4" s="33"/>
      <c r="M4" s="33"/>
      <c r="N4" s="33"/>
      <c r="O4" s="33"/>
      <c r="P4" s="33"/>
      <c r="Q4" s="33"/>
    </row>
    <row r="5" spans="3:17" ht="15.75" x14ac:dyDescent="0.25">
      <c r="C5" s="52"/>
      <c r="D5" s="157" t="s">
        <v>320</v>
      </c>
      <c r="I5" s="33"/>
      <c r="J5" s="33"/>
      <c r="K5" s="33"/>
      <c r="L5" s="33"/>
      <c r="M5" s="33"/>
      <c r="N5" s="33"/>
      <c r="O5" s="33"/>
      <c r="P5" s="33"/>
      <c r="Q5" s="33"/>
    </row>
    <row r="6" spans="3:17" ht="9.75" customHeight="1" x14ac:dyDescent="0.25">
      <c r="C6" s="52"/>
      <c r="I6" s="33"/>
      <c r="J6" s="33"/>
      <c r="K6" s="33"/>
      <c r="L6" s="33"/>
      <c r="M6" s="33"/>
      <c r="N6" s="33"/>
      <c r="O6" s="33"/>
      <c r="P6" s="33"/>
      <c r="Q6" s="33"/>
    </row>
    <row r="7" spans="3:17" ht="26.25" customHeight="1" x14ac:dyDescent="0.25">
      <c r="C7" s="155"/>
      <c r="D7" s="163" t="s">
        <v>321</v>
      </c>
      <c r="I7" s="33"/>
      <c r="J7" s="33"/>
      <c r="K7" s="33"/>
      <c r="L7" s="33"/>
      <c r="M7" s="33"/>
      <c r="N7" s="33"/>
      <c r="O7" s="33"/>
      <c r="P7" s="33"/>
      <c r="Q7" s="33"/>
    </row>
    <row r="8" spans="3:17" ht="31.5" customHeight="1" x14ac:dyDescent="0.25">
      <c r="C8" s="33"/>
      <c r="I8" s="33"/>
      <c r="J8" s="33"/>
      <c r="K8" s="33"/>
      <c r="L8" s="33"/>
      <c r="M8" s="33"/>
      <c r="N8" s="33"/>
      <c r="O8" s="33"/>
      <c r="P8" s="33"/>
      <c r="Q8" s="33"/>
    </row>
    <row r="9" spans="3:17" ht="15.75" x14ac:dyDescent="0.25">
      <c r="D9" s="156" t="s">
        <v>324</v>
      </c>
      <c r="E9" s="5"/>
      <c r="I9" s="33"/>
      <c r="J9" s="33"/>
      <c r="K9" s="33"/>
      <c r="L9" s="33"/>
      <c r="M9" s="33"/>
      <c r="N9" s="33"/>
      <c r="O9" s="33"/>
      <c r="P9" s="33"/>
      <c r="Q9" s="33"/>
    </row>
    <row r="10" spans="3:17" ht="11.25" customHeight="1" x14ac:dyDescent="0.25">
      <c r="C10" s="33"/>
      <c r="I10" s="33"/>
      <c r="J10" s="33"/>
      <c r="K10" s="33"/>
      <c r="L10" s="33"/>
      <c r="M10" s="33"/>
      <c r="N10" s="33"/>
      <c r="O10" s="33"/>
      <c r="P10" s="33"/>
      <c r="Q10" s="33"/>
    </row>
    <row r="11" spans="3:17" ht="27.75" customHeight="1" x14ac:dyDescent="0.25">
      <c r="C11" s="33"/>
      <c r="D11" s="160" t="s">
        <v>328</v>
      </c>
      <c r="E11" s="164">
        <v>5</v>
      </c>
      <c r="I11" s="33"/>
      <c r="J11" s="33"/>
      <c r="K11" s="33"/>
      <c r="L11" s="33"/>
      <c r="M11" s="33"/>
      <c r="N11" s="33"/>
      <c r="O11" s="33"/>
      <c r="P11" s="33"/>
      <c r="Q11" s="33"/>
    </row>
    <row r="12" spans="3:17" ht="27.75" customHeight="1" x14ac:dyDescent="0.25">
      <c r="C12" s="33"/>
      <c r="D12" s="161" t="s">
        <v>327</v>
      </c>
      <c r="E12" s="164">
        <v>30</v>
      </c>
      <c r="I12" s="33"/>
      <c r="J12" s="33"/>
      <c r="K12" s="33"/>
      <c r="L12" s="33"/>
      <c r="M12" s="33"/>
      <c r="N12" s="33"/>
      <c r="O12" s="33"/>
      <c r="P12" s="33"/>
      <c r="Q12" s="33"/>
    </row>
    <row r="13" spans="3:17" ht="26.25" customHeight="1" x14ac:dyDescent="0.25">
      <c r="C13" s="33"/>
      <c r="D13" s="161" t="s">
        <v>329</v>
      </c>
      <c r="E13" s="164">
        <v>25</v>
      </c>
      <c r="I13" s="33"/>
      <c r="J13" s="33"/>
      <c r="K13" s="33"/>
      <c r="L13" s="33"/>
      <c r="M13" s="33"/>
      <c r="N13" s="33"/>
      <c r="O13" s="33"/>
      <c r="P13" s="33"/>
      <c r="Q13" s="33"/>
    </row>
    <row r="14" spans="3:17" ht="23.25" customHeight="1" x14ac:dyDescent="0.25">
      <c r="D14" s="33"/>
      <c r="I14" s="33"/>
      <c r="J14" s="52"/>
      <c r="K14" s="52"/>
      <c r="L14" s="33"/>
      <c r="M14" s="33"/>
      <c r="N14" s="33"/>
      <c r="O14" s="33"/>
      <c r="P14" s="33"/>
      <c r="Q14" s="33"/>
    </row>
    <row r="15" spans="3:17" ht="25.5" customHeight="1" x14ac:dyDescent="0.25">
      <c r="C15" s="155"/>
      <c r="D15" s="176" t="s">
        <v>335</v>
      </c>
      <c r="I15" s="33"/>
      <c r="J15" s="52"/>
      <c r="K15" s="159"/>
      <c r="L15" s="33"/>
      <c r="M15" s="33"/>
      <c r="N15" s="33"/>
      <c r="O15" s="33"/>
      <c r="P15" s="33"/>
      <c r="Q15" s="33"/>
    </row>
    <row r="16" spans="3:17" ht="29.25" customHeight="1" x14ac:dyDescent="0.25">
      <c r="C16" s="155"/>
      <c r="D16" s="165" t="str">
        <f>IF(D7="Single Rod Electrode","Total length of rod required in metres (m)","")</f>
        <v>Total length of rod required in metres (m)</v>
      </c>
      <c r="E16" s="166" t="str">
        <f>IF(AND(D7="Single Rod Electrode",E12=10,E11=1,E13=10),"13.418",IF(AND(D7="Single Rod Electrode",E12=20,E11=1,E13=10),"28.79",IF(AND(D7="Single Rod Electrode",E12=30,E11=1,E13=10),"45.355",IF(AND(D7="Single Rod Electrode",E12=40,E11=1,E13=10),"62.516",IF(AND(D7="Single Rod Electrode",E12=50,E11=1,E13=10),"80.12",IF(AND(D7="Single Rod Electrode",E12=60,E11=1,E13=10),"98.075",IF(AND(D7="Single Rod Electrode",E12=70,E11=1,E13=10),"116.321",IF(AND(D7="Single Rod Electrode",E12=80,E11=1,E13=10),"134.817",IF(AND(D7="Single Rod Electrode",E12=90,E11=1,E13=10),"153.531",IF(AND(D7="Single Rod Electrode",E12=100,E11=1,E13=10),"172.439",IF(AND(D7="Single Rod Electrode",E12=10,E11=1,E13=16),"12.292",IF(AND(D7="Single Rod Electrode",E12=20,E11=1,E13=16),"27.102",IF(AND(D7="Single Rod Electrode",E12=30,E11=1,E13=16),"42.838",IF(AND(D7="Single Rod Electrode",E12=40,E11=1,E13=16),"59.174",IF(AND(D7="Single Rod Electrode",E12=50,E11=1,E13=16),"75.955",IF(AND(D7="Single Rod Electrode",E12=60,E11=1,E13=16),"93.088",IF(AND(D7="Single Rod Electrode",E12=70,E11=1,E13=16),"110.514",IF(AND(D7="Single Rod Electrode",E12=80,E11=1,E13=16),"128.191",IF(AND(D7="Single Rod Electrode",E12=90,E11=1,E13=16),"146.087",IF(AND(D7="Single Rod Electrode",E12=100,E11=1,E13=16),"164.177",IF(AND(D7="Single Rod Electrode",E12=10,E11=1,E13=25),"11.472",IF(AND(D7="Single Rod Electrode",E12=20,E11=1,E13=25),"25.485",IF(AND(D7="Single Rod Electrode",E12=30,E11=1,E13=25),"40.431",IF(AND(D7="Single Rod Electrode",E12=40,E11=1,E13=25),"55.98",IF(AND(D7="Single Rod Electrode",E12=50,E11=1,E13=25),"71.975",IF(AND(D7="Single Rod Electrode",E12=60,E11=1,E13=25),"88.325",IF(AND(D7="Single Rod Electrode",E12=70,E11=1,E13=25),"104.969",IF(AND(D7="Single Rod Electrode",E12=80,E11=1,E13=25),"121.865",IF(AND(D7="Single Rod Electrode",E12=90,E11=1,E13=25),"138.98",IF(AND(D7="Single Rod Electrode",E12=100,E11=1,E13=25),"156.291",""))))))))))))))))))))))))))))))</f>
        <v/>
      </c>
      <c r="I16" s="33"/>
      <c r="J16" s="52"/>
      <c r="K16" s="159"/>
      <c r="L16" s="33"/>
      <c r="M16" s="33"/>
      <c r="N16" s="33"/>
      <c r="O16" s="33"/>
      <c r="P16" s="33"/>
      <c r="Q16" s="33"/>
    </row>
    <row r="17" spans="3:17" ht="25.5" customHeight="1" x14ac:dyDescent="0.25">
      <c r="D17" s="165" t="str">
        <f>IF(D7="Single Rod Electrode","Total length of rod required in metres (m)","")</f>
        <v>Total length of rod required in metres (m)</v>
      </c>
      <c r="E17" s="168" t="str">
        <f>IF(AND(D7="Single Rod Electrode",E12=10,E11=5,E13=10),"2.036",IF(AND(D7="Single Rod Electrode",E12=20,E11=5,E13=10),"4.589",IF(AND(D7="Single Rod Electrode",E12=30,E11=5,E13=10),"7.331",IF(AND(D7="Single Rod Electrode",E12=40,E11=5,E13=10),"10.194",IF(AND(D7="Single Rod Electrode",E12=50,E11=5,E13=10),"13.148",IF(AND(D7="Single Rod Electrode",E12=60,E11=5,E13=10),"16.173",IF(AND(D7="Single Rod Electrode",E12=70,E11=5,E13=10),"19.257",IF(AND(D7="Single Rod Electrode",E12=80,E11=5,E13=10),"22.392",IF(AND(D7="Single Rod Electrode",E12=90,E11=5,E13=10),"25.571",IF(AND(D7="Single Rod Electrode",E12=100,E11=5,E13=10),"28.79",IF(AND(D7="Single Rod Electrode",E12=10,E11=5,E13=16),"1.857",IF(AND(D7="Single Rod Electrode",E12=20,E11=5,E13=16),"4.239",IF(AND(D7="Single Rod Electrode",E12=30,E11=5,E13=16),"6.812",IF(AND(D7="Single Rod Electrode",E12=40,E11=5,E13=16),"9.507",IF(AND(D7="Single Rod Electrode",E12=50,E11=5,E13=16),"12.292",IF(AND(D7="Single Rod Electrode",E12=60,E11=5,E13=16),"15.15",IF(AND(D7="Single Rod Electrode",E12=70,E11=5,E13=16),"18.068",IF(AND(D7="Single Rod Electrode",E12=80,E11=5,E13=16),"21.036",IF(AND(D7="Single Rod Electrode",E12=90,E11=5,E13=16),"24.049",IF(AND(D7="Single Rod Electrode",E12=100,E11=5,E13=16),"27.102",IF(AND(D7="Single Rod Electrode",E12=10,E11=5,E13=25),"1.684",IF(AND(D7="Single Rod Electrode",E12=20,E11=5,E13=25),"3.902",IF(AND(D7="Single Rod Electrode",E12=30,E11=5,E13=25),"6.313",IF(AND(D7="Single Rod Electrode",E12=40,E11=5,E13=25),"8.847",IF(AND(D7="Single Rod Electrode",E12=50,E11=5,E13=25),"11.472",IF(AND(D7="Single Rod Electrode",E12=60,E11=5,E13=25),"14.17",IF(AND(D7="Single Rod Electrode",E12=70,E11=5,E13=25),"16.928",IF(AND(D7="Single Rod Electrode",E12=80,E11=5,E13=25),"19.737",IF(AND(D7="Single Rod Electrode",E12=90,E11=5,E13=25),"22.591",IF(AND(D7="Single Rod Electrode",E12=100,E11=5,E13=25),"25.485",""))))))))))))))))))))))))))))))</f>
        <v>6.313</v>
      </c>
      <c r="I17" s="33"/>
      <c r="J17" s="33"/>
      <c r="K17" s="33"/>
      <c r="L17" s="33"/>
      <c r="M17" s="33"/>
      <c r="N17" s="33"/>
      <c r="O17" s="33"/>
      <c r="P17" s="33"/>
      <c r="Q17" s="33"/>
    </row>
    <row r="18" spans="3:17" ht="24" customHeight="1" x14ac:dyDescent="0.25">
      <c r="C18" s="158"/>
      <c r="D18" s="184" t="str">
        <f>IF(D7="Single Rod Electrode","Total length of rod required in metres (m)","")</f>
        <v>Total length of rod required in metres (m)</v>
      </c>
      <c r="E18" s="185" t="str">
        <f>IF(AND(D7="Single Rod Electrode",E12=10,E11=10,E13=10),"0.885",IF(AND(D7="Single Rod Electrode",E12=20,E11=10,E13=10),"2.036",IF(AND(D7="Single Rod Electrode",E12=30,E11=10,E13=10),"3.202",IF(AND(D7="Single Rod Electrode",E12=40,E11=10,E13=10),"4.589",IF(AND(D7="Single Rod Electrode",E12=50,E11=10,E13=10),"5.942",IF(AND(D7="Single Rod Electrode",E12=60,E11=10,E13=10),"7.331",IF(AND(D7="Single Rod Electrode",E12=70,E11=10,E13=10),"8.75",IF(AND(D7="Single Rod Electrode",E12=80,E11=10,E13=10),"10.194",IF(AND(D7="Single Rod Electrode",E12=90,E11=10,E13=10),"11.661",IF(AND(D7="Single Rod Electrode",E12=100,E11=10,E13=10),"13.148",IF(AND(D7="Single Rod Electrode",E12=10,E11=10,E13=16),"0.793",IF(AND(D7="Single Rod Electrode",E12=20,E11=10,E13=16),"1.857",IF(AND(D7="Single Rod Electrode",E12=30,E11=10,E13=16),"3.017",IF(AND(D7="Single Rod Electrode",E12=40,E11=10,E13=16),"4.239",IF(AND(D7="Single Rod Electrode",E12=50,E11=10,E13=16),"5.507",IF(AND(D7="Single Rod Electrode",E12=60,E11=10,E13=16),"6.812",IF(AND(D7="Single Rod Electrode",E12=70,E11=10,E13=16),"8.146",IF(AND(D7="Single Rod Electrode",E12=80,E11=10,E13=16),"9.507",IF(AND(D7="Single Rod Electrode",E12=90,E11=10,E13=16),"10.89",IF(AND(D7="Single Rod Electrode",E12=100,E11=10,E13=16),"12.292",IF(AND(D7="Single Rod Electrode",E12=10,E11=10,E13=25),"0.703",IF(AND(D7="Single Rod Electrode",E12=20,E11=10,E13=25),"1.684",IF(AND(D7="Single Rod Electrode",E12=30,E11=10,E13=25),"2.672",IF(AND(D7="Single Rod Electrode",E12=40,E11=10,E13=25),"3.902",IF(AND(D7="Single Rod Electrode",E12=50,E11=10,E13=25),"5.089",IF(AND(D7="Single Rod Electrode",E12=60,E11=10,E13=25),"6.313",IF(AND(D7="Single Rod Electrode",E12=70,E11=10,E13=25),"7.567",IF(AND(D7="Single Rod Electrode",E12=80,E11=10,E13=25),"8.847",IF(AND(D7="Single Rod Electrode",E12=90,E11=10,E13=25),"10.15",IF(AND(D7="Single Rod Electrode",E12=100,E11=10,E13=25),"11.472",""))))))))))))))))))))))))))))))</f>
        <v/>
      </c>
      <c r="I18" s="33"/>
      <c r="J18" s="33"/>
      <c r="K18" s="33"/>
      <c r="L18" s="33"/>
      <c r="M18" s="33"/>
      <c r="N18" s="33"/>
      <c r="O18" s="33"/>
      <c r="P18" s="33"/>
      <c r="Q18" s="33"/>
    </row>
    <row r="19" spans="3:17" ht="22.5" customHeight="1" x14ac:dyDescent="0.25">
      <c r="D19" s="186" t="str">
        <f>IF(D7="Parallel Aligned Rods","N     Number of parallel aligned rods required","")</f>
        <v/>
      </c>
      <c r="E19" s="187" t="str">
        <f>IF(AND(D7="Parallel Aligned Rods",E12=10,E11=1,E13=10),"8",IF(AND(D7="Parallel Aligned Rods",E12=20,E11=1,E13=10),"16",IF(AND(D7="Parallel Aligned Rods",E12=30,E11=1,E13=10),"23",IF(AND(D7="Parallel Aligned Rods",E12=40,E11=1,E13=10),"33",IF(AND(D7="Parallel Aligned Rods",E12=50,E11=1,E13=10),"41",IF(AND(D7="Parallel Aligned Rods",E12=60,E11=1,E13=10),"50",IF(AND(D7="Parallel Aligned Rods",E12=70,E11=1,E13=10),"59",IF(AND(D7="Parallel Aligned Rods",E12=80,E11=1,E13=10),"68",IF(AND(D7="Parallel Aligned Rods",E12=90,E11=1,E13=10),"77",IF(AND(D7="Parallel Aligned Rods",E12=100,E11=1,E13=10),"86",IF(AND(D7="Parallel Aligned Rods",E12=10,E11=1,E13=16),"7",IF(AND(D7="Parallel Aligned Rods",E12=20,E11=1,E13=16),"15",IF(AND(D7="Parallel Aligned Rods",E12=30,E11=1,E13=16),"22",IF(AND(D7="Parallel Aligned Rods",E12=40,E11=1,E13=16),"30",IF(AND(D7="Parallel Aligned Rods",E12=50,E11=1,E13=16),"39",IF(AND(D7="Parallel Aligned Rods",E12=60,E11=1,E13=16),"47",IF(AND(D7="Parallel Aligned Rods",E12=70,E11=1,E13=16),"55",IF(AND(D7="Parallel Aligned Rods",E12=80,E11=1,E13=16),"64",IF(AND(D7="Parallel Aligned Rods",E12=90,E11=1,E13=16),"72",IF(AND(D7="Parallel Aligned Rods",E12=100,E11=1,E13=16),"81",IF(AND(D7="Parallel Aligned Rods",E12=10,E11=1,E13=25),"6",IF(AND(D7="Parallel Aligned Rods",E12=20,E11=1,E13=25),"13",IF(AND(D7="Parallel Aligned Rods",E12=30,E11=1,E13=25),"21",IF(AND(D7="Parallel Aligned Rods",E12=40,E11=1,E13=25),"28",IF(AND(D7="Parallel Aligned Rods",E12=50,E11=1,E13=25),"36",IF(AND(D7="Parallel Aligned Rods",E12=60,E11=1,E13=25),"47",IF(AND(D7="Parallel Aligned Rods",E12=70,E11=1,E13=25),"52",IF(AND(D7="Parallel Aligned Rods",E12=80,E11=1,E13=25),"60",IF(AND(D7="Parallel Aligned Rods",E12=90,E11=1,E13=25),"68",IF(AND(D7="Parallel Aligned Rods",E12=100,E11=1,E13=25),"76",""))))))))))))))))))))))))))))))</f>
        <v/>
      </c>
      <c r="I19" s="33"/>
      <c r="J19" s="33"/>
      <c r="K19" s="33"/>
      <c r="L19" s="33"/>
      <c r="M19" s="33"/>
      <c r="N19" s="33"/>
      <c r="O19" s="33"/>
      <c r="P19" s="33"/>
      <c r="Q19" s="33"/>
    </row>
    <row r="20" spans="3:17" ht="15.75" x14ac:dyDescent="0.25">
      <c r="C20" s="33"/>
      <c r="D20" s="186" t="str">
        <f>IF(D7="Parallel Aligned Rods","N     Number of parallel aligned rods required","")</f>
        <v/>
      </c>
      <c r="E20" s="188" t="str">
        <f>IF(AND(D7="Parallel Aligned Rods",E12=10,E11=5,E13=10),"2",IF(AND(D7="Parallel Aligned Rods",E12=20,E11=5,E13=10),"3",IF(AND(D7="Parallel Aligned Rods",E12=30,E11=5,E13=10),"5",IF(AND(D7="Parallel Aligned Rods",E12=40,E11=5,E13=10),"6",IF(AND(D7="Parallel Aligned Rods",E12=50,E11=5,E13=10),"8",IF(AND(D7="Parallel Aligned Rods",E12=60,E11=5,E13=10),"10",IF(AND(D7="Parallel Aligned Rods",E12=70,E11=5,E13=10),"11",IF(AND(D7="Parallel Aligned Rods",E12=80,E11=5,E13=10),"13",IF(AND(D7="Parallel Aligned Rods",E12=90,E11=5,E13=10),"15",IF(AND(D7="Parallel Aligned Rods",E12=100,E11=5,E13=10),"17",IF(AND(D7="Parallel Aligned Rods",E12=10,E11=5,E13=16),"2",IF(AND(D7="Parallel Aligned Rods",E12=20,E11=5,E13=16),"3",IF(AND(D7="Parallel Aligned Rods",E12=30,E11=5,E13=16),"4",IF(AND(D7="Parallel Aligned Rods",E12=40,E11=5,E13=16),"6",IF(AND(D7="Parallel Aligned Rods",E12=50,E11=5,E13=16),"7",IF(AND(D7="Parallel Aligned Rods",E12=60,E11=5,E13=16),"9",IF(AND(D7="Parallel Aligned Rods",E12=70,E11=5,E13=16),"11",IF(AND(D7="Parallel Aligned Rods",E12=80,E11=5,E13=16),"12",IF(AND(D7="Parallel Aligned Rods",E12=90,E11=5,E13=16),"14",IF(AND(D7="Parallel Aligned Rods",E12=100,E11=5,E13=16),"16",IF(AND(D7="Parallel Aligned Rods",E12=10,E11=5,E13=25),"1",IF(AND(D7="Parallel Aligned Rods",E12=20,E11=5,E13=25),"3",IF(AND(D7="Parallel Aligned Rods",E12=30,E11=5,E13=25),"4",IF(AND(D7="Parallel Aligned Rods",E12=40,E11=5,E13=25),"6",IF(AND(D7="Parallel Aligned Rods",E12=50,E11=5,E13=25),"7",IF(AND(D7="Parallel Aligned Rods",E12=60,E11=5,E13=25),"9",IF(AND(D7="Parallel Aligned Rods",E12=70,E11=5,E13=25),"10",IF(AND(D7="Parallel Aligned Rods",E12=80,E11=5,E13=25),"12",IF(AND(D7="Parallel Aligned Rods",E12=90,E11=5,E13=25),"13",IF(AND(D7="Parallel Aligned Rods",E12=100,E11=5,E13=25),"15",""))))))))))))))))))))))))))))))</f>
        <v/>
      </c>
      <c r="I20" s="33"/>
      <c r="J20" s="33"/>
      <c r="K20" s="33"/>
      <c r="L20" s="33"/>
      <c r="M20" s="33"/>
      <c r="N20" s="33"/>
      <c r="O20" s="33"/>
      <c r="P20" s="33"/>
      <c r="Q20" s="33"/>
    </row>
    <row r="21" spans="3:17" ht="15.75" x14ac:dyDescent="0.25">
      <c r="C21" s="33"/>
      <c r="D21" s="186" t="str">
        <f>IF(D7="Parallel Aligned Rods","N     Number of parallel aligned rods required","")</f>
        <v/>
      </c>
      <c r="E21" s="189" t="str">
        <f>IF(AND(D7="Parallel Aligned Rods",E12=10,E11=10,E13=10),"1",IF(AND(D7="Parallel Aligned Rods",E12=20,E11=10,E13=10),"2",IF(AND(D7="Parallel Aligned Rods",E12=30,E11=10,E13=10),"2",IF(AND(D7="Parallel Aligned Rods",E12=40,E11=10,E13=10),"3",IF(AND(D7="Parallel Aligned Rods",E12=50,E11=10,E13=10),"4",IF(AND(D7="Parallel Aligned Rods",E12=60,E11=10,E13=10),"5",IF(AND(D7="Parallel Aligned Rods",E12=70,E11=10,E13=10),"6",IF(AND(D7="Parallel Aligned Rods",E12=80,E11=10,E13=10),"6",IF(AND(D7="Parallel Aligned Rods",E12=90,E11=10,E13=10),"7",IF(AND(D7="Parallel Aligned Rods",E12=100,E11=10,E13=10),"8",IF(AND(D7="Parallel Aligned Rods",E12=10,E11=10,E13=16),"1",IF(AND(D7="Parallel Aligned Rods",E12=20,E11=10,E13=16),"2",IF(AND(D7="Parallel Aligned Rods",E12=30,E11=10,E13=16),"2",IF(AND(D7="Parallel Aligned Rods",E12=40,E11=10,E13=16),"3",IF(AND(D7="Parallel Aligned Rods",E12=50,E11=10,E13=16),"4",IF(AND(D7="Parallel Aligned Rods",E12=60,E11=10,E13=16),"4",IF(AND(D7="Parallel Aligned Rods",E12=70,E11=10,E13=16),"5",IF(AND(D7="Parallel Aligned Rods",E12=80,E11=10,E13=16),"6",IF(AND(D7="Parallel Aligned Rods",E12=90,E11=10,E13=16),"7",IF(AND(D7="Parallel Aligned Rods",E12=100,E11=10,E13=16),"8",IF(AND(D7="Parallel Aligned Rods",E12=10,E11=10,E13=25),"1",IF(AND(D7="Parallel Aligned Rods",E12=20,E11=10,E13=25),"1",IF(AND(D7="Parallel Aligned Rods",E12=30,E11=10,E13=25),"2",IF(AND(D7="Parallel Aligned Rods",E12=40,E11=10,E13=25),"3",IF(AND(D7="Parallel Aligned Rods",E12=50,E11=10,E13=25),"3",IF(AND(D7="Parallel Aligned Rods",E12=60,E11=10,E13=25),"4",IF(AND(D7="Parallel Aligned Rods",E12=70,E11=10,E13=25),"5",IF(AND(D7="Parallel Aligned Rods",E12=80,E11=10,E13=25),"6",IF(AND(D7="Parallel Aligned Rods",E12=90,E11=10,E13=25),"6",IF(AND(D7="Parallel Aligned Rods",E12=100,E11=10,E13=25),"7",""))))))))))))))))))))))))))))))</f>
        <v/>
      </c>
      <c r="I21" s="33"/>
      <c r="J21" s="33"/>
      <c r="K21" s="33"/>
      <c r="L21" s="33"/>
      <c r="M21" s="33"/>
      <c r="N21" s="33"/>
      <c r="O21" s="33"/>
      <c r="P21" s="33"/>
      <c r="Q21" s="33"/>
    </row>
    <row r="22" spans="3:17" ht="15.75" x14ac:dyDescent="0.25">
      <c r="C22" s="33"/>
      <c r="D22" s="190" t="str">
        <f>IF(D7="Parallel Aligned Rods","s     spacing between adjacent the rods in metres","")</f>
        <v/>
      </c>
      <c r="E22" s="191" t="s">
        <v>332</v>
      </c>
      <c r="I22" s="33"/>
      <c r="J22" s="33"/>
      <c r="K22" s="33"/>
      <c r="L22" s="33"/>
      <c r="M22" s="33"/>
      <c r="N22" s="33"/>
      <c r="O22" s="33"/>
      <c r="P22" s="33"/>
      <c r="Q22" s="33"/>
    </row>
    <row r="23" spans="3:17" ht="15.75" x14ac:dyDescent="0.25">
      <c r="C23" s="33"/>
      <c r="D23" s="192" t="str">
        <f>IF(D7="Parallel Aligned Rods","L     length of each rod, in metres (m)","")</f>
        <v/>
      </c>
      <c r="E23" s="193">
        <v>1.5</v>
      </c>
      <c r="I23" s="33"/>
      <c r="J23" s="33"/>
      <c r="K23" s="33"/>
      <c r="L23" s="33"/>
      <c r="M23" s="33"/>
      <c r="N23" s="33"/>
      <c r="O23" s="33"/>
      <c r="P23" s="33"/>
      <c r="Q23" s="33"/>
    </row>
    <row r="24" spans="3:17" x14ac:dyDescent="0.25">
      <c r="C24" s="33"/>
      <c r="D24" s="33"/>
      <c r="I24" s="33"/>
      <c r="J24" s="33"/>
      <c r="K24" s="33"/>
      <c r="L24" s="33"/>
      <c r="M24" s="33"/>
      <c r="N24" s="33"/>
      <c r="O24" s="33"/>
      <c r="P24" s="33"/>
      <c r="Q24" s="33"/>
    </row>
    <row r="25" spans="3:17" x14ac:dyDescent="0.25">
      <c r="C25" s="33"/>
      <c r="D25" s="33"/>
      <c r="K25" s="33"/>
      <c r="L25" s="33"/>
      <c r="M25" s="33"/>
      <c r="N25" s="33"/>
      <c r="O25" s="33"/>
      <c r="P25" s="33"/>
      <c r="Q25" s="33"/>
    </row>
    <row r="26" spans="3:17" x14ac:dyDescent="0.25">
      <c r="C26" s="33"/>
      <c r="D26" s="33"/>
      <c r="K26" s="33"/>
      <c r="L26" s="33"/>
      <c r="M26" s="33"/>
      <c r="N26" s="33"/>
      <c r="O26" s="33"/>
      <c r="P26" s="33"/>
      <c r="Q26" s="33"/>
    </row>
    <row r="27" spans="3:17" x14ac:dyDescent="0.25">
      <c r="C27" s="33"/>
      <c r="D27" s="33"/>
      <c r="I27" s="33"/>
      <c r="J27" s="33"/>
      <c r="K27" s="33"/>
      <c r="L27" s="33"/>
      <c r="M27" s="33"/>
      <c r="N27" s="33"/>
      <c r="O27" s="33"/>
      <c r="P27" s="33"/>
      <c r="Q27" s="33"/>
    </row>
    <row r="28" spans="3:17" x14ac:dyDescent="0.25">
      <c r="C28" s="33"/>
      <c r="D28" s="33"/>
      <c r="I28" s="33"/>
      <c r="J28" s="33"/>
      <c r="K28" s="33"/>
      <c r="L28" s="33"/>
      <c r="M28" s="33"/>
      <c r="N28" s="33"/>
      <c r="O28" s="33"/>
      <c r="P28" s="33"/>
      <c r="Q28" s="33"/>
    </row>
    <row r="29" spans="3:17" x14ac:dyDescent="0.25">
      <c r="C29" s="33"/>
      <c r="D29" s="33"/>
      <c r="I29" s="33"/>
      <c r="J29" s="33"/>
      <c r="K29" s="33"/>
      <c r="L29" s="33"/>
      <c r="M29" s="33"/>
      <c r="N29" s="33"/>
      <c r="O29" s="33"/>
      <c r="P29" s="33"/>
      <c r="Q29" s="33"/>
    </row>
    <row r="30" spans="3:17" x14ac:dyDescent="0.25">
      <c r="C30" s="33"/>
      <c r="D30" s="33"/>
      <c r="I30" s="33"/>
      <c r="J30" s="33"/>
      <c r="K30" s="33"/>
      <c r="L30" s="33"/>
      <c r="M30" s="33"/>
      <c r="N30" s="33"/>
      <c r="O30" s="33"/>
      <c r="P30" s="33"/>
      <c r="Q30" s="33"/>
    </row>
    <row r="31" spans="3:17" x14ac:dyDescent="0.25">
      <c r="C31" s="33"/>
      <c r="D31" s="33"/>
      <c r="I31" s="33"/>
      <c r="J31" s="33"/>
      <c r="K31" s="33"/>
      <c r="L31" s="33"/>
      <c r="M31" s="33"/>
      <c r="N31" s="33"/>
      <c r="O31" s="33"/>
      <c r="P31" s="33"/>
      <c r="Q31" s="33"/>
    </row>
    <row r="32" spans="3:17" x14ac:dyDescent="0.25">
      <c r="C32" s="33"/>
      <c r="D32" s="33"/>
      <c r="I32" s="33"/>
      <c r="J32" s="33"/>
      <c r="K32" s="33"/>
      <c r="L32" s="33"/>
      <c r="M32" s="33"/>
      <c r="N32" s="33"/>
      <c r="O32" s="33"/>
      <c r="P32" s="33"/>
      <c r="Q32" s="33"/>
    </row>
    <row r="33" spans="3:17" x14ac:dyDescent="0.25">
      <c r="C33" s="33"/>
      <c r="D33" s="33"/>
      <c r="I33" s="33"/>
      <c r="J33" s="33"/>
      <c r="K33" s="33"/>
      <c r="L33" s="33"/>
      <c r="M33" s="33"/>
      <c r="N33" s="33"/>
      <c r="O33" s="33"/>
      <c r="P33" s="33"/>
      <c r="Q33" s="33"/>
    </row>
    <row r="34" spans="3:17" x14ac:dyDescent="0.25">
      <c r="C34" s="33"/>
      <c r="D34" s="33"/>
      <c r="I34" s="33"/>
      <c r="J34" s="33"/>
      <c r="K34" s="33"/>
      <c r="L34" s="33"/>
      <c r="M34" s="33"/>
      <c r="N34" s="33"/>
      <c r="O34" s="33"/>
      <c r="P34" s="33"/>
      <c r="Q34" s="33"/>
    </row>
    <row r="35" spans="3:17" x14ac:dyDescent="0.25">
      <c r="C35" s="33"/>
      <c r="D35" s="33"/>
      <c r="I35" s="33"/>
      <c r="J35" s="33"/>
      <c r="K35" s="33"/>
      <c r="L35" s="33"/>
      <c r="M35" s="33"/>
      <c r="N35" s="33"/>
      <c r="O35" s="33"/>
      <c r="P35" s="33"/>
      <c r="Q35" s="33"/>
    </row>
    <row r="36" spans="3:17" x14ac:dyDescent="0.25">
      <c r="C36" s="33"/>
      <c r="D36" s="33"/>
      <c r="I36" s="33"/>
      <c r="J36" s="33"/>
      <c r="K36" s="33"/>
      <c r="L36" s="33"/>
      <c r="M36" s="33"/>
      <c r="N36" s="33"/>
      <c r="O36" s="33"/>
      <c r="P36" s="33"/>
      <c r="Q36" s="33"/>
    </row>
    <row r="37" spans="3:17" x14ac:dyDescent="0.25">
      <c r="C37" s="33"/>
      <c r="D37" s="33"/>
      <c r="I37" s="33"/>
      <c r="J37" s="33"/>
      <c r="K37" s="33"/>
      <c r="L37" s="33"/>
      <c r="M37" s="33"/>
      <c r="N37" s="33"/>
      <c r="O37" s="33"/>
      <c r="P37" s="33"/>
      <c r="Q37" s="33"/>
    </row>
    <row r="38" spans="3:17" x14ac:dyDescent="0.25">
      <c r="C38" s="33"/>
      <c r="D38" s="33"/>
      <c r="M38" s="33"/>
      <c r="N38" s="33"/>
      <c r="O38" s="33"/>
      <c r="P38" s="33"/>
      <c r="Q38" s="33"/>
    </row>
    <row r="39" spans="3:17" x14ac:dyDescent="0.25">
      <c r="C39" s="33"/>
      <c r="D39" s="33"/>
    </row>
    <row r="40" spans="3:17" x14ac:dyDescent="0.25">
      <c r="C40" s="33"/>
      <c r="D40" s="33"/>
    </row>
    <row r="41" spans="3:17" x14ac:dyDescent="0.25">
      <c r="C41" s="33"/>
      <c r="D41" s="33"/>
    </row>
  </sheetData>
  <sheetProtection algorithmName="SHA-512" hashValue="DeXe54Dw9bn2U4C+L0g67F+0X0HU2VW+Zd8ywptOGWhypYZ9AzRtYzQAQ4UCm/gRmgdLR7oJU2gP4iG0+07nMw==" saltValue="TuuTsz4xNQk2Q4efAv3KEw==" spinCount="100000" sheet="1" objects="1" scenarios="1"/>
  <conditionalFormatting sqref="E22:E23">
    <cfRule type="expression" dxfId="32" priority="31">
      <formula>$D$7="Single Rod Electrode"</formula>
    </cfRule>
  </conditionalFormatting>
  <conditionalFormatting sqref="D16:E16">
    <cfRule type="expression" dxfId="31" priority="14">
      <formula>$D$7="Parallel Aligned Rods"</formula>
    </cfRule>
    <cfRule type="expression" dxfId="30" priority="26">
      <formula>$E$11=1</formula>
    </cfRule>
    <cfRule type="expression" dxfId="29" priority="27">
      <formula>$E$11</formula>
    </cfRule>
    <cfRule type="expression" dxfId="28" priority="30">
      <formula>$D$7="Parallel Aligned Rods"</formula>
    </cfRule>
  </conditionalFormatting>
  <conditionalFormatting sqref="D19:E19">
    <cfRule type="expression" dxfId="27" priority="13">
      <formula>$E$11</formula>
    </cfRule>
    <cfRule type="expression" dxfId="26" priority="29">
      <formula>$D$7="Single Rod Electrode"</formula>
    </cfRule>
  </conditionalFormatting>
  <conditionalFormatting sqref="D17:E17">
    <cfRule type="expression" dxfId="25" priority="16">
      <formula>$D$7="Parallel Aligned Rods"</formula>
    </cfRule>
    <cfRule type="expression" dxfId="24" priority="19">
      <formula>$E$11=5</formula>
    </cfRule>
    <cfRule type="expression" dxfId="23" priority="24">
      <formula>$E$11=10</formula>
    </cfRule>
    <cfRule type="expression" dxfId="22" priority="25">
      <formula>$E$11=1</formula>
    </cfRule>
  </conditionalFormatting>
  <conditionalFormatting sqref="D18">
    <cfRule type="expression" dxfId="21" priority="23">
      <formula>$D$7="Parallel Aligned Rods"</formula>
    </cfRule>
  </conditionalFormatting>
  <conditionalFormatting sqref="D18:E18">
    <cfRule type="expression" dxfId="20" priority="15">
      <formula>$D$7="Parallel Aligned Rods"</formula>
    </cfRule>
    <cfRule type="expression" dxfId="19" priority="17">
      <formula>$E$11=10</formula>
    </cfRule>
    <cfRule type="expression" dxfId="18" priority="18">
      <formula>$E$11=5</formula>
    </cfRule>
    <cfRule type="expression" dxfId="17" priority="20">
      <formula>$E$11=10</formula>
    </cfRule>
    <cfRule type="expression" dxfId="16" priority="21">
      <formula>$E$11=10</formula>
    </cfRule>
    <cfRule type="expression" dxfId="15" priority="22">
      <formula>$E$11=1</formula>
    </cfRule>
  </conditionalFormatting>
  <conditionalFormatting sqref="D20">
    <cfRule type="expression" dxfId="14" priority="11">
      <formula>$E$11</formula>
    </cfRule>
    <cfRule type="expression" dxfId="13" priority="12">
      <formula>$D$7="Single Rod Electrode"</formula>
    </cfRule>
  </conditionalFormatting>
  <conditionalFormatting sqref="D21">
    <cfRule type="expression" dxfId="12" priority="9">
      <formula>$E$11</formula>
    </cfRule>
    <cfRule type="expression" dxfId="11" priority="10">
      <formula>$D$7="Single Rod Electrode"</formula>
    </cfRule>
  </conditionalFormatting>
  <conditionalFormatting sqref="D19:E21">
    <cfRule type="expression" dxfId="10" priority="1">
      <formula>$D$7="Single Rod Electrode"</formula>
    </cfRule>
    <cfRule type="expression" dxfId="9" priority="8">
      <formula>$D$7="Single Rod Electrode"</formula>
    </cfRule>
  </conditionalFormatting>
  <conditionalFormatting sqref="D20:E21">
    <cfRule type="expression" dxfId="8" priority="7">
      <formula>$E$11=1</formula>
    </cfRule>
  </conditionalFormatting>
  <conditionalFormatting sqref="D20:E20">
    <cfRule type="expression" dxfId="7" priority="6">
      <formula>$E$11=5</formula>
    </cfRule>
  </conditionalFormatting>
  <conditionalFormatting sqref="D19:E19 D21:E21">
    <cfRule type="expression" dxfId="6" priority="5">
      <formula>$E$11=5</formula>
    </cfRule>
  </conditionalFormatting>
  <conditionalFormatting sqref="D19:E20">
    <cfRule type="expression" dxfId="5" priority="4">
      <formula>$E$11=10</formula>
    </cfRule>
  </conditionalFormatting>
  <conditionalFormatting sqref="D21:E21">
    <cfRule type="expression" dxfId="4" priority="3">
      <formula>$E$11=10</formula>
    </cfRule>
  </conditionalFormatting>
  <conditionalFormatting sqref="D22:E23">
    <cfRule type="expression" dxfId="3" priority="2">
      <formula>$D$7="Single Rod Electrode"</formula>
    </cfRule>
  </conditionalFormatting>
  <dataValidations count="7">
    <dataValidation type="list" allowBlank="1" showInputMessage="1" showErrorMessage="1" sqref="D7" xr:uid="{3905BFEE-C6E8-4485-9BA2-9EF09E6B4BEA}">
      <formula1>Case</formula1>
    </dataValidation>
    <dataValidation type="list" allowBlank="1" showInputMessage="1" showErrorMessage="1" sqref="K15" xr:uid="{EDA52F14-78A8-44A0-BE5B-35864BBE8716}">
      <formula1>INDIRECT($D7)</formula1>
    </dataValidation>
    <dataValidation type="list" allowBlank="1" showInputMessage="1" showErrorMessage="1" sqref="E12" xr:uid="{3D83B28A-2DD0-4307-B608-B30ABA760D32}">
      <formula1>reeee</formula1>
    </dataValidation>
    <dataValidation type="list" allowBlank="1" showInputMessage="1" showErrorMessage="1" sqref="E11" xr:uid="{719E36F3-60BE-4A6B-BCBD-D50210C26F37}">
      <formula1>ress</formula1>
    </dataValidation>
    <dataValidation type="list" allowBlank="1" showInputMessage="1" showErrorMessage="1" sqref="K16" xr:uid="{AF88BC7C-F694-4BBC-A886-8904429B5772}">
      <formula1>INDIRECT($K15)</formula1>
    </dataValidation>
    <dataValidation type="list" allowBlank="1" showInputMessage="1" showErrorMessage="1" sqref="E13" xr:uid="{D5B9E37B-E0CD-4A85-BEEC-F275B1481BE9}">
      <formula1>diaaa</formula1>
    </dataValidation>
    <dataValidation type="list" allowBlank="1" showInputMessage="1" showErrorMessage="1" sqref="E23" xr:uid="{4641A354-B3D3-45F5-9AAC-3E3C0F3417B5}">
      <formula1>l</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5"/>
  <sheetViews>
    <sheetView zoomScaleNormal="100" workbookViewId="0">
      <selection activeCell="D81" sqref="D81"/>
    </sheetView>
  </sheetViews>
  <sheetFormatPr defaultRowHeight="15" x14ac:dyDescent="0.25"/>
  <cols>
    <col min="1" max="3" width="9.140625" style="33"/>
    <col min="4" max="4" width="92" customWidth="1"/>
    <col min="5" max="5" width="9.5703125" bestFit="1" customWidth="1"/>
    <col min="9" max="13" width="9.140625" style="33"/>
  </cols>
  <sheetData>
    <row r="1" spans="3:8" s="33" customFormat="1" x14ac:dyDescent="0.25"/>
    <row r="2" spans="3:8" s="33" customFormat="1" x14ac:dyDescent="0.25"/>
    <row r="3" spans="3:8" s="33" customFormat="1" ht="18.75" x14ac:dyDescent="0.3">
      <c r="C3" s="169" t="s">
        <v>334</v>
      </c>
      <c r="D3" s="38" t="s">
        <v>208</v>
      </c>
    </row>
    <row r="4" spans="3:8" s="33" customFormat="1" x14ac:dyDescent="0.25"/>
    <row r="5" spans="3:8" x14ac:dyDescent="0.25">
      <c r="D5" s="32" t="s">
        <v>211</v>
      </c>
      <c r="E5" s="33"/>
      <c r="F5" s="33"/>
      <c r="G5" s="33"/>
      <c r="H5" s="33"/>
    </row>
    <row r="6" spans="3:8" ht="29.25" customHeight="1" x14ac:dyDescent="0.25">
      <c r="D6" s="200" t="s">
        <v>185</v>
      </c>
      <c r="E6" s="33"/>
      <c r="F6" s="33"/>
      <c r="G6" s="33"/>
      <c r="H6" s="33"/>
    </row>
    <row r="7" spans="3:8" ht="26.25" customHeight="1" x14ac:dyDescent="0.25">
      <c r="D7" s="32" t="s">
        <v>199</v>
      </c>
      <c r="E7" s="33"/>
      <c r="F7" s="33"/>
      <c r="G7" s="33"/>
      <c r="H7" s="33"/>
    </row>
    <row r="8" spans="3:8" ht="15.75" x14ac:dyDescent="0.25">
      <c r="D8" s="48" t="str">
        <f>IF(D6="Case where the ground is a dual nature medium","ρ     The lower resistivity (concrete) in (Ω-m)","ρₒ     the resistivity of surrounding medium (Ω-m)")</f>
        <v>ρₒ     the resistivity of surrounding medium (Ω-m)</v>
      </c>
      <c r="E8" s="198">
        <v>200</v>
      </c>
      <c r="F8" s="33"/>
      <c r="G8" s="33"/>
      <c r="H8" s="33"/>
    </row>
    <row r="9" spans="3:8" ht="15.75" x14ac:dyDescent="0.25">
      <c r="D9" s="48" t="s">
        <v>212</v>
      </c>
      <c r="E9" s="198">
        <v>1.5</v>
      </c>
      <c r="F9" s="33"/>
      <c r="G9" s="33"/>
      <c r="H9" s="33"/>
    </row>
    <row r="10" spans="3:8" ht="15.75" x14ac:dyDescent="0.25">
      <c r="D10" s="48" t="str">
        <f>IF(D6="Case where the ground is a dual nature medium","rₒ      the inner radius of rod (m)","r       the radius of the rod (m)")</f>
        <v>r       the radius of the rod (m)</v>
      </c>
      <c r="E10" s="198">
        <v>1.6E-2</v>
      </c>
      <c r="F10" s="33"/>
      <c r="G10" s="33"/>
      <c r="H10" s="33"/>
    </row>
    <row r="11" spans="3:8" ht="15.75" x14ac:dyDescent="0.25">
      <c r="D11" s="48" t="str">
        <f>IF(D6="Basic formula for Concrete-encased Rod Electrode","","r1     the outer radius of rod (m)")</f>
        <v>r1     the outer radius of rod (m)</v>
      </c>
      <c r="E11" s="198">
        <v>0.2</v>
      </c>
      <c r="F11" s="33"/>
      <c r="G11" s="33"/>
      <c r="H11" s="33"/>
    </row>
    <row r="12" spans="3:8" ht="15.75" x14ac:dyDescent="0.25">
      <c r="D12" s="48" t="str">
        <f>IF(D6="Basic formula for Concrete-encased Rod Electrode","","ρ1    the higher resistivity of (earth) in (Ω-m)")</f>
        <v>ρ1    the higher resistivity of (earth) in (Ω-m)</v>
      </c>
      <c r="E12" s="198">
        <v>150</v>
      </c>
      <c r="F12" s="33"/>
      <c r="G12" s="33"/>
      <c r="H12" s="33"/>
    </row>
    <row r="13" spans="3:8" ht="15.75" x14ac:dyDescent="0.25">
      <c r="D13" s="48" t="str">
        <f>IF(D6="Multiple concrete-encased rebar grounding electrodes in Hollow rectangular configuration","r       the radius of equivalent hemisphere","")</f>
        <v>r       the radius of equivalent hemisphere</v>
      </c>
      <c r="E13" s="198">
        <v>2.5</v>
      </c>
      <c r="F13" s="33"/>
      <c r="G13" s="33"/>
      <c r="H13" s="33"/>
    </row>
    <row r="14" spans="3:8" ht="15.75" x14ac:dyDescent="0.25">
      <c r="D14" s="48" t="str">
        <f>IF(D6="Multiple concrete-encased rebar grounding electrodes in Hollow rectangular configuration","d      the spacing of electrodes","")</f>
        <v>d      the spacing of electrodes</v>
      </c>
      <c r="E14" s="198">
        <v>3</v>
      </c>
      <c r="F14" s="33"/>
      <c r="G14" s="33"/>
      <c r="H14" s="33"/>
    </row>
    <row r="15" spans="3:8" ht="15.75" x14ac:dyDescent="0.25">
      <c r="D15" s="48" t="str">
        <f>IF(D6="Multiple concrete-encased rebar grounding electrodes in Hollow rectangular configuration","N     the total number of rods","")</f>
        <v>N     the total number of rods</v>
      </c>
      <c r="E15" s="198">
        <v>10</v>
      </c>
      <c r="F15" s="33"/>
      <c r="G15" s="33"/>
      <c r="H15" s="33"/>
    </row>
    <row r="16" spans="3:8" ht="15.75" x14ac:dyDescent="0.25">
      <c r="D16" s="48" t="str">
        <f>IF(D6="Multiple concrete-encased rebar grounding electrodes in Hollow rectangular configuration","k      given in graph","")</f>
        <v>k      given in graph</v>
      </c>
      <c r="E16" s="198">
        <v>6</v>
      </c>
      <c r="F16" s="33"/>
      <c r="G16" s="33"/>
      <c r="H16" s="33"/>
    </row>
    <row r="17" spans="3:9" ht="15.75" x14ac:dyDescent="0.25">
      <c r="D17" s="48" t="str">
        <f>IF(D6="Multiple concrete-encased rebar grounding electrodes in Hollow rectangular configuration","M     multiplier to obtain array resistance from single electrode reistance","")</f>
        <v>M     multiplier to obtain array resistance from single electrode reistance</v>
      </c>
      <c r="E17" s="199">
        <f>(1+(E13*E16/E14))/E15</f>
        <v>0.6</v>
      </c>
      <c r="F17" s="33"/>
      <c r="G17" s="33"/>
      <c r="H17" s="33"/>
    </row>
    <row r="18" spans="3:9" x14ac:dyDescent="0.25">
      <c r="F18" s="33"/>
      <c r="G18" s="33"/>
      <c r="H18" s="33"/>
    </row>
    <row r="19" spans="3:9" ht="15.75" x14ac:dyDescent="0.25">
      <c r="D19" s="53" t="s">
        <v>213</v>
      </c>
      <c r="E19" s="205">
        <f>IF(D6="Case where the ground is a dual nature medium",((LN(E11)-LN(E10))*(E8/(2*PI()*E9)))+(((E12/(2*PI()*E9)))*((LN(4*E9))-1-LN(E11))),IF(D6="Basic formula for Concrete-encased Rod Electrode",(LN(4*E9/E10)-1)*(E8/(2*PI()*E9)),IF(D6="Multiple concrete-encased rebar grounding electrodes in Hollow rectangular configuration",E17*((LN(E11)-LN(E10))*(E8/(2*PI()*E9)))+(((E12/(2*PI()*E9)))*((LN(4*E9))-1-LN(E11))))))</f>
        <v>70.374819155120861</v>
      </c>
      <c r="F19" s="33"/>
      <c r="G19" s="33"/>
      <c r="H19" s="33"/>
    </row>
    <row r="20" spans="3:9" x14ac:dyDescent="0.25">
      <c r="D20" s="33"/>
      <c r="E20" s="33"/>
      <c r="F20" s="33"/>
      <c r="G20" s="33"/>
      <c r="H20" s="33"/>
    </row>
    <row r="21" spans="3:9" x14ac:dyDescent="0.25">
      <c r="D21" s="33"/>
      <c r="E21" s="33"/>
      <c r="F21" s="33"/>
      <c r="G21" s="33"/>
      <c r="H21" s="33"/>
    </row>
    <row r="22" spans="3:9" ht="18.75" x14ac:dyDescent="0.3">
      <c r="C22" s="169" t="s">
        <v>334</v>
      </c>
      <c r="D22" s="56" t="s">
        <v>218</v>
      </c>
      <c r="E22" s="33"/>
      <c r="F22" s="33"/>
      <c r="G22" s="33"/>
      <c r="H22" s="33"/>
    </row>
    <row r="23" spans="3:9" x14ac:dyDescent="0.25">
      <c r="E23" s="52"/>
      <c r="F23" s="52"/>
      <c r="G23" s="52"/>
      <c r="H23" s="52"/>
      <c r="I23" s="52"/>
    </row>
    <row r="24" spans="3:9" ht="21" customHeight="1" x14ac:dyDescent="0.25">
      <c r="D24" s="195" t="s">
        <v>216</v>
      </c>
      <c r="E24" s="52"/>
      <c r="F24" s="52"/>
      <c r="G24" s="52"/>
      <c r="H24" s="52"/>
      <c r="I24" s="52"/>
    </row>
    <row r="25" spans="3:9" x14ac:dyDescent="0.25">
      <c r="F25" s="33"/>
      <c r="G25" s="33"/>
      <c r="H25" s="33"/>
    </row>
    <row r="26" spans="3:9" ht="15.75" x14ac:dyDescent="0.25">
      <c r="D26" s="48" t="s">
        <v>217</v>
      </c>
      <c r="E26" s="198">
        <v>300</v>
      </c>
      <c r="F26" s="33"/>
      <c r="G26" s="33"/>
      <c r="H26" s="33"/>
    </row>
    <row r="27" spans="3:9" ht="15.75" x14ac:dyDescent="0.25">
      <c r="D27" s="48" t="s">
        <v>309</v>
      </c>
      <c r="E27" s="198">
        <v>0.4</v>
      </c>
      <c r="F27" s="33"/>
      <c r="G27" s="33"/>
      <c r="H27" s="33"/>
    </row>
    <row r="28" spans="3:9" ht="15.75" x14ac:dyDescent="0.25">
      <c r="D28" s="48" t="s">
        <v>219</v>
      </c>
      <c r="E28" s="198">
        <v>4</v>
      </c>
      <c r="F28" s="33"/>
      <c r="G28" s="33"/>
      <c r="H28" s="33"/>
    </row>
    <row r="29" spans="3:9" ht="15.75" x14ac:dyDescent="0.25">
      <c r="D29" s="48" t="str">
        <f>IF(D24="Sunde's equation for electrode","r     the outer radius of the ring in (m)","re     equivalent radius in (m)")</f>
        <v>re     equivalent radius in (m)</v>
      </c>
      <c r="E29" s="198">
        <v>0.1</v>
      </c>
      <c r="F29" s="33"/>
      <c r="G29" s="33"/>
      <c r="H29" s="33"/>
    </row>
    <row r="30" spans="3:9" ht="15.75" x14ac:dyDescent="0.25">
      <c r="D30" s="48" t="str">
        <f>IF(D24="Propose novel equivalent equation by author","α     improvement constant (fixed value)","")</f>
        <v>α     improvement constant (fixed value)</v>
      </c>
      <c r="E30" s="201">
        <v>1.85</v>
      </c>
      <c r="F30" s="33"/>
      <c r="G30" s="33"/>
      <c r="H30" s="33"/>
    </row>
    <row r="31" spans="3:9" ht="15.75" x14ac:dyDescent="0.25">
      <c r="D31" s="48" t="str">
        <f>IF(D24="Propose novel equivalent equation by author","β     improvement constant (fixed value)","")</f>
        <v>β     improvement constant (fixed value)</v>
      </c>
      <c r="E31" s="201">
        <v>3.82</v>
      </c>
      <c r="F31" s="33"/>
      <c r="G31" s="33"/>
      <c r="H31" s="33"/>
    </row>
    <row r="32" spans="3:9" x14ac:dyDescent="0.25">
      <c r="F32" s="33"/>
      <c r="G32" s="33"/>
      <c r="H32" s="33"/>
    </row>
    <row r="33" spans="3:9" ht="15.75" x14ac:dyDescent="0.25">
      <c r="D33" s="55" t="s">
        <v>220</v>
      </c>
      <c r="E33" s="204">
        <f>IF(D24="Sunde's equation for electrode",LN(8*E29/((2*E27*E28)^0.5))*(E26/(2*PI()*PI()*E29)),LN(E31*8*E29/((2*E27*E28)^0.5))*(E26/(E30*2*PI()*PI()*E29)))</f>
        <v>43.995147610954135</v>
      </c>
      <c r="F33" s="33"/>
      <c r="G33" s="33"/>
      <c r="H33" s="33"/>
    </row>
    <row r="34" spans="3:9" x14ac:dyDescent="0.25">
      <c r="D34" s="52"/>
      <c r="E34" s="52"/>
      <c r="F34" s="52"/>
      <c r="G34" s="52"/>
      <c r="H34" s="52"/>
      <c r="I34" s="52"/>
    </row>
    <row r="35" spans="3:9" x14ac:dyDescent="0.25">
      <c r="D35" s="52"/>
      <c r="E35" s="52"/>
      <c r="F35" s="52"/>
      <c r="G35" s="52"/>
      <c r="H35" s="52"/>
      <c r="I35" s="52"/>
    </row>
    <row r="36" spans="3:9" x14ac:dyDescent="0.25">
      <c r="D36" s="33"/>
      <c r="E36" s="33"/>
      <c r="F36" s="33"/>
      <c r="G36" s="33"/>
      <c r="H36" s="33"/>
    </row>
    <row r="37" spans="3:9" ht="18.75" x14ac:dyDescent="0.3">
      <c r="C37" s="169" t="s">
        <v>334</v>
      </c>
      <c r="D37" s="45" t="s">
        <v>190</v>
      </c>
      <c r="E37" s="33"/>
      <c r="F37" s="33"/>
      <c r="G37" s="33"/>
      <c r="H37" s="33"/>
    </row>
    <row r="38" spans="3:9" x14ac:dyDescent="0.25">
      <c r="D38" s="58" t="s">
        <v>226</v>
      </c>
      <c r="E38" s="33"/>
      <c r="F38" s="33"/>
      <c r="G38" s="33"/>
      <c r="H38" s="33"/>
    </row>
    <row r="39" spans="3:9" x14ac:dyDescent="0.25">
      <c r="D39" s="33"/>
      <c r="E39" s="33"/>
      <c r="F39" s="33"/>
      <c r="G39" s="33"/>
      <c r="H39" s="33"/>
    </row>
    <row r="40" spans="3:9" ht="15.75" x14ac:dyDescent="0.25">
      <c r="D40" s="59" t="s">
        <v>223</v>
      </c>
      <c r="E40" s="198">
        <v>60</v>
      </c>
      <c r="F40" s="33"/>
      <c r="G40" s="33"/>
      <c r="H40" s="33"/>
    </row>
    <row r="41" spans="3:9" ht="15.75" x14ac:dyDescent="0.25">
      <c r="D41" s="59" t="s">
        <v>222</v>
      </c>
      <c r="E41" s="198">
        <v>5</v>
      </c>
      <c r="F41" s="33"/>
      <c r="G41" s="33"/>
      <c r="H41" s="33"/>
    </row>
    <row r="42" spans="3:9" ht="15.75" x14ac:dyDescent="0.25">
      <c r="D42" s="59" t="s">
        <v>225</v>
      </c>
      <c r="E42" s="198">
        <v>4.5</v>
      </c>
      <c r="F42" s="33"/>
      <c r="G42" s="33"/>
      <c r="H42" s="33"/>
    </row>
    <row r="43" spans="3:9" ht="15.75" x14ac:dyDescent="0.25">
      <c r="D43" s="59" t="s">
        <v>221</v>
      </c>
      <c r="E43" s="198">
        <v>0.5</v>
      </c>
      <c r="F43" s="33"/>
      <c r="G43" s="33"/>
      <c r="H43" s="33"/>
    </row>
    <row r="44" spans="3:9" x14ac:dyDescent="0.25">
      <c r="D44" s="52"/>
      <c r="E44" s="52"/>
      <c r="F44" s="33"/>
      <c r="G44" s="33"/>
      <c r="H44" s="33"/>
    </row>
    <row r="45" spans="3:9" ht="15.75" x14ac:dyDescent="0.25">
      <c r="D45" s="55" t="s">
        <v>224</v>
      </c>
      <c r="E45" s="204">
        <f>((1/E42)+(1/((20*E43)^0.5))+(1+(1/(1+(E41*(20/E43)^0.5)))))*E40</f>
        <v>94.146205096246547</v>
      </c>
      <c r="F45" s="33"/>
      <c r="G45" s="33"/>
      <c r="H45" s="33"/>
    </row>
    <row r="46" spans="3:9" x14ac:dyDescent="0.25">
      <c r="D46" s="33"/>
      <c r="E46" s="33"/>
      <c r="F46" s="33"/>
      <c r="G46" s="33"/>
      <c r="H46" s="33"/>
    </row>
    <row r="47" spans="3:9" x14ac:dyDescent="0.25">
      <c r="D47" s="33"/>
      <c r="E47" s="33"/>
      <c r="F47" s="33"/>
      <c r="G47" s="33"/>
      <c r="H47" s="33"/>
    </row>
    <row r="48" spans="3:9" x14ac:dyDescent="0.25">
      <c r="D48" s="33"/>
      <c r="E48" s="33"/>
      <c r="F48" s="33"/>
      <c r="G48" s="33"/>
      <c r="H48" s="33"/>
    </row>
    <row r="49" spans="3:8" x14ac:dyDescent="0.25">
      <c r="D49" s="33"/>
      <c r="E49" s="33"/>
      <c r="F49" s="33"/>
      <c r="G49" s="33"/>
      <c r="H49" s="33"/>
    </row>
    <row r="50" spans="3:8" x14ac:dyDescent="0.25">
      <c r="D50" s="33"/>
      <c r="E50" s="33"/>
      <c r="F50" s="33"/>
      <c r="G50" s="33"/>
      <c r="H50" s="33"/>
    </row>
    <row r="51" spans="3:8" ht="18.75" x14ac:dyDescent="0.3">
      <c r="C51" s="169" t="s">
        <v>334</v>
      </c>
      <c r="D51" s="45" t="s">
        <v>192</v>
      </c>
      <c r="E51" s="33"/>
      <c r="F51" s="33"/>
      <c r="G51" s="33"/>
      <c r="H51" s="33"/>
    </row>
    <row r="52" spans="3:8" x14ac:dyDescent="0.25">
      <c r="D52" s="58" t="s">
        <v>229</v>
      </c>
      <c r="E52" s="33"/>
      <c r="F52" s="33"/>
      <c r="G52" s="33"/>
      <c r="H52" s="33"/>
    </row>
    <row r="53" spans="3:8" x14ac:dyDescent="0.25">
      <c r="D53" s="33"/>
      <c r="E53" s="33"/>
      <c r="F53" s="33"/>
      <c r="G53" s="33"/>
      <c r="H53" s="33"/>
    </row>
    <row r="54" spans="3:8" ht="15.75" x14ac:dyDescent="0.25">
      <c r="D54" s="48" t="s">
        <v>230</v>
      </c>
      <c r="E54" s="198">
        <v>42.3</v>
      </c>
      <c r="F54" s="33"/>
      <c r="G54" s="33"/>
      <c r="H54" s="33"/>
    </row>
    <row r="55" spans="3:8" ht="15.75" x14ac:dyDescent="0.25">
      <c r="D55" s="48" t="s">
        <v>231</v>
      </c>
      <c r="E55" s="198">
        <v>2.5000000000000001E-2</v>
      </c>
      <c r="F55" s="33"/>
      <c r="G55" s="33"/>
      <c r="H55" s="33"/>
    </row>
    <row r="56" spans="3:8" ht="15.75" x14ac:dyDescent="0.25">
      <c r="D56" s="48" t="s">
        <v>232</v>
      </c>
      <c r="E56" s="198">
        <v>1</v>
      </c>
      <c r="F56" s="33"/>
      <c r="G56" s="33"/>
      <c r="H56" s="33"/>
    </row>
    <row r="57" spans="3:8" x14ac:dyDescent="0.25">
      <c r="F57" s="60"/>
      <c r="G57" s="33"/>
      <c r="H57" s="33"/>
    </row>
    <row r="58" spans="3:8" ht="15.75" x14ac:dyDescent="0.25">
      <c r="D58" s="53" t="s">
        <v>227</v>
      </c>
      <c r="E58" s="202">
        <f>LN((1/E55)+1)*(E54/(2*PI()*E56))</f>
        <v>25.000710744930196</v>
      </c>
      <c r="F58" s="33"/>
      <c r="G58" s="33"/>
      <c r="H58" s="33"/>
    </row>
    <row r="59" spans="3:8" x14ac:dyDescent="0.25">
      <c r="D59" s="33"/>
      <c r="E59" s="33"/>
      <c r="F59" s="33"/>
      <c r="G59" s="33"/>
      <c r="H59" s="33"/>
    </row>
    <row r="60" spans="3:8" x14ac:dyDescent="0.25">
      <c r="D60" s="33"/>
      <c r="E60" s="33"/>
      <c r="F60" s="33"/>
      <c r="G60" s="33"/>
      <c r="H60" s="33"/>
    </row>
    <row r="61" spans="3:8" x14ac:dyDescent="0.25">
      <c r="D61" s="33"/>
      <c r="E61" s="33"/>
      <c r="F61" s="33"/>
      <c r="G61" s="33"/>
      <c r="H61" s="33"/>
    </row>
    <row r="62" spans="3:8" x14ac:dyDescent="0.25">
      <c r="D62" s="33"/>
      <c r="E62" s="33"/>
      <c r="F62" s="33"/>
      <c r="G62" s="33"/>
      <c r="H62" s="33"/>
    </row>
    <row r="63" spans="3:8" x14ac:dyDescent="0.25">
      <c r="D63" s="33"/>
      <c r="E63" s="33"/>
      <c r="F63" s="33"/>
      <c r="G63" s="33"/>
      <c r="H63" s="33"/>
    </row>
    <row r="64" spans="3:8" ht="18.75" x14ac:dyDescent="0.3">
      <c r="C64" s="169" t="s">
        <v>334</v>
      </c>
      <c r="D64" s="38" t="s">
        <v>271</v>
      </c>
      <c r="E64" s="33"/>
      <c r="F64" s="33"/>
      <c r="G64" s="33"/>
      <c r="H64" s="33"/>
    </row>
    <row r="65" spans="3:8" x14ac:dyDescent="0.25">
      <c r="D65" s="1" t="s">
        <v>201</v>
      </c>
      <c r="E65" s="33"/>
      <c r="F65" s="33"/>
      <c r="G65" s="33"/>
      <c r="H65" s="33"/>
    </row>
    <row r="66" spans="3:8" x14ac:dyDescent="0.25">
      <c r="D66" s="33"/>
      <c r="E66" s="33"/>
      <c r="F66" s="33"/>
      <c r="G66" s="33"/>
      <c r="H66" s="33"/>
    </row>
    <row r="67" spans="3:8" s="33" customFormat="1" x14ac:dyDescent="0.25"/>
    <row r="68" spans="3:8" x14ac:dyDescent="0.25">
      <c r="F68" s="33"/>
      <c r="G68" s="33"/>
      <c r="H68" s="33"/>
    </row>
    <row r="69" spans="3:8" ht="15.75" x14ac:dyDescent="0.25">
      <c r="D69" s="48" t="s">
        <v>272</v>
      </c>
      <c r="E69" s="197">
        <v>100</v>
      </c>
      <c r="F69" s="33"/>
      <c r="G69" s="33"/>
      <c r="H69" s="33"/>
    </row>
    <row r="70" spans="3:8" ht="15.75" x14ac:dyDescent="0.25">
      <c r="D70" s="48" t="s">
        <v>274</v>
      </c>
      <c r="E70" s="197">
        <v>1.6E-2</v>
      </c>
      <c r="F70" s="33"/>
      <c r="G70" s="33"/>
      <c r="H70" s="33"/>
    </row>
    <row r="71" spans="3:8" ht="15.75" x14ac:dyDescent="0.25">
      <c r="D71" s="48" t="s">
        <v>275</v>
      </c>
      <c r="E71" s="197">
        <v>10</v>
      </c>
      <c r="F71" s="33"/>
      <c r="G71" s="33"/>
      <c r="H71" s="33"/>
    </row>
    <row r="72" spans="3:8" ht="15.75" x14ac:dyDescent="0.25">
      <c r="D72" s="48" t="s">
        <v>276</v>
      </c>
      <c r="E72" s="197">
        <v>1.5</v>
      </c>
      <c r="F72" s="33"/>
      <c r="G72" s="33"/>
      <c r="H72" s="33"/>
    </row>
    <row r="73" spans="3:8" ht="15.75" x14ac:dyDescent="0.25">
      <c r="D73" s="48" t="s">
        <v>277</v>
      </c>
      <c r="E73" s="206">
        <f>E71*E72</f>
        <v>15</v>
      </c>
      <c r="F73" s="33"/>
      <c r="G73" s="33"/>
      <c r="H73" s="33"/>
    </row>
    <row r="74" spans="3:8" x14ac:dyDescent="0.25">
      <c r="F74" s="33"/>
      <c r="G74" s="33"/>
      <c r="H74" s="33"/>
    </row>
    <row r="75" spans="3:8" x14ac:dyDescent="0.25">
      <c r="D75" s="51" t="s">
        <v>273</v>
      </c>
      <c r="E75" s="203">
        <f>(LN(4*E73/E70)-1)*(E69/(4*PI()*E73))</f>
        <v>3.8353747690700426</v>
      </c>
      <c r="F75" s="33"/>
      <c r="G75" s="33"/>
      <c r="H75" s="33"/>
    </row>
    <row r="76" spans="3:8" s="33" customFormat="1" x14ac:dyDescent="0.25">
      <c r="E76" s="170" t="str">
        <f>IF(E75&lt;5,"Satisfactory, continue with initial design",IF(E75&gt;5,"Does not comply for 5 ohms. Review and modify design"))</f>
        <v>Satisfactory, continue with initial design</v>
      </c>
    </row>
    <row r="77" spans="3:8" x14ac:dyDescent="0.25">
      <c r="F77" s="33"/>
      <c r="G77" s="33"/>
      <c r="H77" s="33"/>
    </row>
    <row r="78" spans="3:8" x14ac:dyDescent="0.25">
      <c r="D78" s="33"/>
      <c r="E78" s="33"/>
      <c r="F78" s="33"/>
      <c r="G78" s="33"/>
      <c r="H78" s="33"/>
    </row>
    <row r="79" spans="3:8" ht="18.75" x14ac:dyDescent="0.3">
      <c r="C79" s="169" t="s">
        <v>334</v>
      </c>
      <c r="D79" s="45" t="s">
        <v>203</v>
      </c>
      <c r="E79" s="33"/>
      <c r="F79" s="33"/>
      <c r="G79" s="33"/>
      <c r="H79" s="33"/>
    </row>
    <row r="80" spans="3:8" x14ac:dyDescent="0.25">
      <c r="D80" s="33"/>
      <c r="E80" s="33"/>
      <c r="F80" s="33"/>
      <c r="G80" s="33"/>
      <c r="H80" s="33"/>
    </row>
    <row r="81" spans="4:8" x14ac:dyDescent="0.25">
      <c r="D81" s="196" t="s">
        <v>296</v>
      </c>
      <c r="E81" s="33"/>
      <c r="F81" s="33"/>
      <c r="G81" s="33"/>
      <c r="H81" s="33"/>
    </row>
    <row r="82" spans="4:8" x14ac:dyDescent="0.25">
      <c r="E82" s="33"/>
      <c r="F82" s="33"/>
      <c r="G82" s="33"/>
      <c r="H82" s="33"/>
    </row>
    <row r="83" spans="4:8" ht="15.75" x14ac:dyDescent="0.25">
      <c r="D83" s="59" t="s">
        <v>300</v>
      </c>
      <c r="E83" s="197">
        <v>1000</v>
      </c>
      <c r="F83" s="33"/>
      <c r="G83" s="33"/>
      <c r="H83" s="33"/>
    </row>
    <row r="84" spans="4:8" ht="15.75" x14ac:dyDescent="0.25">
      <c r="D84" s="59" t="s">
        <v>299</v>
      </c>
      <c r="E84" s="197">
        <v>180</v>
      </c>
      <c r="F84" s="33"/>
      <c r="G84" s="33"/>
      <c r="H84" s="33"/>
    </row>
    <row r="85" spans="4:8" ht="15.75" x14ac:dyDescent="0.25">
      <c r="D85" s="59" t="s">
        <v>301</v>
      </c>
      <c r="E85" s="197">
        <v>150</v>
      </c>
      <c r="F85" s="33"/>
      <c r="G85" s="33"/>
      <c r="H85" s="33"/>
    </row>
    <row r="86" spans="4:8" ht="15.75" x14ac:dyDescent="0.25">
      <c r="D86" s="59" t="s">
        <v>302</v>
      </c>
      <c r="E86" s="197">
        <v>1.6E-2</v>
      </c>
      <c r="F86" s="33"/>
      <c r="G86" s="33"/>
      <c r="H86" s="33"/>
    </row>
    <row r="87" spans="4:8" x14ac:dyDescent="0.25">
      <c r="D87" s="33"/>
      <c r="E87" s="33"/>
      <c r="F87" s="33"/>
      <c r="G87" s="33"/>
      <c r="H87" s="33"/>
    </row>
    <row r="88" spans="4:8" ht="15.75" x14ac:dyDescent="0.25">
      <c r="D88" s="53" t="s">
        <v>273</v>
      </c>
      <c r="E88" s="202">
        <f>IF(D81="Buried straight rod or wire",(0.366*E83/E85)*(LN(E85/E86)+LN(E85/(4*E84))+0.34),IF(D81="Buried circle of wire",(0.366*E83/E85)*(LN(E85/E86)+LN(E85/(4*E84))+0.81),IF(D81="Vertical rod",(0.366*E83/E85)*LN(3*E85/E86))))</f>
        <v>19.317933676336427</v>
      </c>
      <c r="F88" s="33"/>
      <c r="G88" s="33"/>
      <c r="H88" s="33"/>
    </row>
    <row r="89" spans="4:8" x14ac:dyDescent="0.25">
      <c r="D89" s="33"/>
      <c r="E89" s="33"/>
      <c r="F89" s="33"/>
      <c r="G89" s="33"/>
      <c r="H89" s="33"/>
    </row>
    <row r="90" spans="4:8" x14ac:dyDescent="0.25">
      <c r="D90" s="1" t="s">
        <v>307</v>
      </c>
      <c r="F90" s="33"/>
      <c r="G90" s="33"/>
      <c r="H90" s="33"/>
    </row>
    <row r="91" spans="4:8" x14ac:dyDescent="0.25">
      <c r="F91" s="33"/>
      <c r="G91" s="33"/>
      <c r="H91" s="33"/>
    </row>
    <row r="92" spans="4:8" ht="15.75" x14ac:dyDescent="0.25">
      <c r="D92" s="69" t="s">
        <v>303</v>
      </c>
      <c r="E92" s="197">
        <v>3000</v>
      </c>
      <c r="F92" s="33"/>
      <c r="G92" s="33"/>
      <c r="H92" s="33"/>
    </row>
    <row r="93" spans="4:8" ht="15.75" x14ac:dyDescent="0.25">
      <c r="D93" s="69" t="s">
        <v>305</v>
      </c>
      <c r="E93" s="197">
        <v>2000</v>
      </c>
      <c r="F93" s="33"/>
      <c r="G93" s="33"/>
      <c r="H93" s="33"/>
    </row>
    <row r="94" spans="4:8" ht="15.75" x14ac:dyDescent="0.25">
      <c r="D94" s="69" t="s">
        <v>299</v>
      </c>
      <c r="E94" s="197">
        <v>80</v>
      </c>
      <c r="F94" s="33"/>
      <c r="G94" s="33"/>
      <c r="H94" s="33"/>
    </row>
    <row r="95" spans="4:8" ht="15.75" x14ac:dyDescent="0.25">
      <c r="D95" s="69" t="s">
        <v>304</v>
      </c>
      <c r="E95" s="197">
        <v>60</v>
      </c>
      <c r="F95" s="33"/>
      <c r="G95" s="33"/>
      <c r="H95" s="33"/>
    </row>
    <row r="96" spans="4:8" ht="15.75" x14ac:dyDescent="0.25">
      <c r="D96" s="69" t="s">
        <v>302</v>
      </c>
      <c r="E96" s="197">
        <v>0.5</v>
      </c>
      <c r="F96" s="33"/>
      <c r="G96" s="33"/>
      <c r="H96" s="33"/>
    </row>
    <row r="97" spans="4:8" ht="15.75" x14ac:dyDescent="0.25">
      <c r="D97" s="59" t="s">
        <v>306</v>
      </c>
      <c r="E97" s="197">
        <f>E95-(E94*(1-(E93/E92)))</f>
        <v>33.333333333333329</v>
      </c>
      <c r="F97" s="33"/>
      <c r="G97" s="33"/>
      <c r="H97" s="33"/>
    </row>
    <row r="98" spans="4:8" x14ac:dyDescent="0.25">
      <c r="F98" s="33"/>
      <c r="G98" s="33"/>
      <c r="H98" s="33"/>
    </row>
    <row r="99" spans="4:8" ht="15.75" x14ac:dyDescent="0.25">
      <c r="D99" s="53" t="s">
        <v>273</v>
      </c>
      <c r="E99" s="202">
        <f>(0.366*E92/E97)*LN(3*E97/E96)</f>
        <v>174.52657405409235</v>
      </c>
      <c r="F99" s="33"/>
      <c r="G99" s="33"/>
      <c r="H99" s="33"/>
    </row>
    <row r="100" spans="4:8" x14ac:dyDescent="0.25">
      <c r="D100" s="33"/>
      <c r="E100" s="33"/>
      <c r="F100" s="33"/>
      <c r="G100" s="33"/>
      <c r="H100" s="33"/>
    </row>
    <row r="101" spans="4:8" x14ac:dyDescent="0.25">
      <c r="D101" s="33"/>
      <c r="E101" s="33"/>
      <c r="F101" s="33"/>
      <c r="G101" s="33"/>
      <c r="H101" s="33"/>
    </row>
    <row r="102" spans="4:8" x14ac:dyDescent="0.25">
      <c r="D102" s="33"/>
      <c r="E102" s="33"/>
      <c r="F102" s="33"/>
      <c r="G102" s="33"/>
      <c r="H102" s="33"/>
    </row>
    <row r="103" spans="4:8" x14ac:dyDescent="0.25">
      <c r="D103" s="33"/>
      <c r="E103" s="33"/>
      <c r="F103" s="33"/>
      <c r="G103" s="33"/>
      <c r="H103" s="33"/>
    </row>
    <row r="104" spans="4:8" x14ac:dyDescent="0.25">
      <c r="D104" s="33"/>
      <c r="E104" s="33"/>
      <c r="F104" s="33"/>
      <c r="G104" s="33"/>
      <c r="H104" s="33"/>
    </row>
    <row r="105" spans="4:8" x14ac:dyDescent="0.25">
      <c r="D105" s="33"/>
      <c r="E105" s="33"/>
      <c r="F105" s="33"/>
      <c r="G105" s="33"/>
      <c r="H105" s="33"/>
    </row>
    <row r="106" spans="4:8" x14ac:dyDescent="0.25">
      <c r="D106" s="33"/>
      <c r="E106" s="33"/>
      <c r="F106" s="33"/>
      <c r="G106" s="33"/>
      <c r="H106" s="33"/>
    </row>
    <row r="107" spans="4:8" x14ac:dyDescent="0.25">
      <c r="D107" s="33"/>
      <c r="E107" s="33"/>
      <c r="F107" s="33"/>
      <c r="G107" s="33"/>
      <c r="H107" s="33"/>
    </row>
    <row r="108" spans="4:8" x14ac:dyDescent="0.25">
      <c r="D108" s="33"/>
      <c r="E108" s="33"/>
      <c r="F108" s="33"/>
      <c r="G108" s="33"/>
      <c r="H108" s="33"/>
    </row>
    <row r="109" spans="4:8" x14ac:dyDescent="0.25">
      <c r="D109" s="33"/>
      <c r="E109" s="33"/>
      <c r="F109" s="33"/>
      <c r="G109" s="33"/>
      <c r="H109" s="33"/>
    </row>
    <row r="110" spans="4:8" x14ac:dyDescent="0.25">
      <c r="D110" s="33"/>
      <c r="E110" s="33"/>
      <c r="F110" s="33"/>
      <c r="G110" s="33"/>
      <c r="H110" s="33"/>
    </row>
    <row r="111" spans="4:8" x14ac:dyDescent="0.25">
      <c r="D111" s="33"/>
      <c r="E111" s="33"/>
      <c r="F111" s="33"/>
      <c r="G111" s="33"/>
      <c r="H111" s="33"/>
    </row>
    <row r="112" spans="4:8" x14ac:dyDescent="0.25">
      <c r="D112" s="33"/>
      <c r="E112" s="33"/>
      <c r="F112" s="33"/>
      <c r="G112" s="33"/>
      <c r="H112" s="33"/>
    </row>
    <row r="113" spans="4:8" x14ac:dyDescent="0.25">
      <c r="D113" s="33"/>
      <c r="E113" s="33"/>
      <c r="F113" s="33"/>
      <c r="G113" s="33"/>
      <c r="H113" s="33"/>
    </row>
    <row r="114" spans="4:8" x14ac:dyDescent="0.25">
      <c r="D114" s="33"/>
      <c r="E114" s="33"/>
      <c r="F114" s="33"/>
      <c r="G114" s="33"/>
      <c r="H114" s="33"/>
    </row>
    <row r="115" spans="4:8" x14ac:dyDescent="0.25">
      <c r="D115" s="33"/>
      <c r="E115" s="33"/>
      <c r="F115" s="33"/>
      <c r="G115" s="33"/>
      <c r="H115" s="33"/>
    </row>
    <row r="116" spans="4:8" x14ac:dyDescent="0.25">
      <c r="D116" s="33"/>
      <c r="E116" s="33"/>
      <c r="F116" s="33"/>
      <c r="G116" s="33"/>
      <c r="H116" s="33"/>
    </row>
    <row r="117" spans="4:8" x14ac:dyDescent="0.25">
      <c r="D117" s="33"/>
      <c r="E117" s="33"/>
      <c r="F117" s="33"/>
      <c r="G117" s="33"/>
      <c r="H117" s="33"/>
    </row>
    <row r="118" spans="4:8" x14ac:dyDescent="0.25">
      <c r="D118" s="33"/>
      <c r="E118" s="33"/>
      <c r="F118" s="33"/>
      <c r="G118" s="33"/>
      <c r="H118" s="33"/>
    </row>
    <row r="119" spans="4:8" x14ac:dyDescent="0.25">
      <c r="D119" s="33"/>
      <c r="E119" s="33"/>
      <c r="F119" s="33"/>
      <c r="G119" s="33"/>
      <c r="H119" s="33"/>
    </row>
    <row r="120" spans="4:8" x14ac:dyDescent="0.25">
      <c r="D120" s="33"/>
      <c r="E120" s="33"/>
      <c r="F120" s="33"/>
      <c r="G120" s="33"/>
      <c r="H120" s="33"/>
    </row>
    <row r="121" spans="4:8" x14ac:dyDescent="0.25">
      <c r="D121" s="33"/>
      <c r="E121" s="33"/>
      <c r="F121" s="33"/>
      <c r="G121" s="33"/>
      <c r="H121" s="33"/>
    </row>
    <row r="122" spans="4:8" x14ac:dyDescent="0.25">
      <c r="D122" s="33"/>
      <c r="E122" s="33"/>
      <c r="F122" s="33"/>
      <c r="G122" s="33"/>
      <c r="H122" s="33"/>
    </row>
    <row r="123" spans="4:8" x14ac:dyDescent="0.25">
      <c r="D123" s="33"/>
      <c r="E123" s="33"/>
      <c r="F123" s="33"/>
      <c r="G123" s="33"/>
      <c r="H123" s="33"/>
    </row>
    <row r="124" spans="4:8" x14ac:dyDescent="0.25">
      <c r="D124" s="33"/>
      <c r="E124" s="33"/>
      <c r="F124" s="33"/>
      <c r="G124" s="33"/>
      <c r="H124" s="33"/>
    </row>
    <row r="125" spans="4:8" x14ac:dyDescent="0.25">
      <c r="D125" s="33"/>
      <c r="E125" s="33"/>
      <c r="F125" s="33"/>
      <c r="G125" s="33"/>
      <c r="H125" s="33"/>
    </row>
    <row r="126" spans="4:8" x14ac:dyDescent="0.25">
      <c r="D126" s="33"/>
      <c r="E126" s="33"/>
      <c r="F126" s="33"/>
      <c r="G126" s="33"/>
      <c r="H126" s="33"/>
    </row>
    <row r="127" spans="4:8" x14ac:dyDescent="0.25">
      <c r="D127" s="33"/>
      <c r="E127" s="33"/>
      <c r="F127" s="33"/>
      <c r="G127" s="33"/>
      <c r="H127" s="33"/>
    </row>
    <row r="128" spans="4:8" x14ac:dyDescent="0.25">
      <c r="D128" s="33"/>
      <c r="E128" s="33"/>
      <c r="F128" s="33"/>
      <c r="G128" s="33"/>
      <c r="H128" s="33"/>
    </row>
    <row r="129" spans="4:8" x14ac:dyDescent="0.25">
      <c r="D129" s="33"/>
      <c r="E129" s="33"/>
      <c r="F129" s="33"/>
      <c r="G129" s="33"/>
      <c r="H129" s="33"/>
    </row>
    <row r="130" spans="4:8" x14ac:dyDescent="0.25">
      <c r="D130" s="33"/>
      <c r="E130" s="33"/>
      <c r="F130" s="33"/>
      <c r="G130" s="33"/>
      <c r="H130" s="33"/>
    </row>
    <row r="131" spans="4:8" x14ac:dyDescent="0.25">
      <c r="D131" s="33"/>
      <c r="E131" s="33"/>
      <c r="F131" s="33"/>
      <c r="G131" s="33"/>
      <c r="H131" s="33"/>
    </row>
    <row r="132" spans="4:8" x14ac:dyDescent="0.25">
      <c r="D132" s="33"/>
      <c r="E132" s="33"/>
      <c r="F132" s="33"/>
      <c r="G132" s="33"/>
      <c r="H132" s="33"/>
    </row>
    <row r="133" spans="4:8" x14ac:dyDescent="0.25">
      <c r="D133" s="33"/>
      <c r="E133" s="33"/>
      <c r="F133" s="33"/>
      <c r="G133" s="33"/>
      <c r="H133" s="33"/>
    </row>
    <row r="134" spans="4:8" x14ac:dyDescent="0.25">
      <c r="D134" s="33"/>
      <c r="E134" s="33"/>
      <c r="F134" s="33"/>
      <c r="G134" s="33"/>
      <c r="H134" s="33"/>
    </row>
    <row r="135" spans="4:8" x14ac:dyDescent="0.25">
      <c r="D135" s="33"/>
      <c r="E135" s="33"/>
      <c r="F135" s="33"/>
      <c r="G135" s="33"/>
      <c r="H135" s="33"/>
    </row>
    <row r="136" spans="4:8" x14ac:dyDescent="0.25">
      <c r="D136" s="33"/>
      <c r="E136" s="33"/>
      <c r="F136" s="33"/>
      <c r="G136" s="33"/>
      <c r="H136" s="33"/>
    </row>
    <row r="137" spans="4:8" x14ac:dyDescent="0.25">
      <c r="D137" s="33"/>
      <c r="E137" s="33"/>
      <c r="F137" s="33"/>
      <c r="G137" s="33"/>
      <c r="H137" s="33"/>
    </row>
    <row r="138" spans="4:8" x14ac:dyDescent="0.25">
      <c r="D138" s="33"/>
      <c r="E138" s="33"/>
      <c r="F138" s="33"/>
      <c r="G138" s="33"/>
      <c r="H138" s="33"/>
    </row>
    <row r="139" spans="4:8" x14ac:dyDescent="0.25">
      <c r="D139" s="33"/>
      <c r="E139" s="33"/>
      <c r="F139" s="33"/>
      <c r="G139" s="33"/>
      <c r="H139" s="33"/>
    </row>
    <row r="140" spans="4:8" x14ac:dyDescent="0.25">
      <c r="D140" s="33"/>
      <c r="E140" s="33"/>
      <c r="F140" s="33"/>
      <c r="G140" s="33"/>
      <c r="H140" s="33"/>
    </row>
    <row r="141" spans="4:8" x14ac:dyDescent="0.25">
      <c r="D141" s="33"/>
      <c r="E141" s="33"/>
      <c r="F141" s="33"/>
      <c r="G141" s="33"/>
      <c r="H141" s="33"/>
    </row>
    <row r="142" spans="4:8" x14ac:dyDescent="0.25">
      <c r="D142" s="33"/>
      <c r="E142" s="33"/>
      <c r="F142" s="33"/>
      <c r="G142" s="33"/>
      <c r="H142" s="33"/>
    </row>
    <row r="143" spans="4:8" x14ac:dyDescent="0.25">
      <c r="D143" s="33"/>
      <c r="E143" s="33"/>
      <c r="F143" s="33"/>
      <c r="G143" s="33"/>
      <c r="H143" s="33"/>
    </row>
    <row r="144" spans="4:8" x14ac:dyDescent="0.25">
      <c r="D144" s="33"/>
      <c r="E144" s="33"/>
      <c r="F144" s="33"/>
      <c r="G144" s="33"/>
      <c r="H144" s="33"/>
    </row>
    <row r="145" spans="4:8" x14ac:dyDescent="0.25">
      <c r="D145" s="33"/>
      <c r="E145" s="33"/>
      <c r="F145" s="33"/>
      <c r="G145" s="33"/>
      <c r="H145" s="33"/>
    </row>
    <row r="146" spans="4:8" x14ac:dyDescent="0.25">
      <c r="D146" s="33"/>
      <c r="E146" s="33"/>
      <c r="F146" s="33"/>
      <c r="G146" s="33"/>
      <c r="H146" s="33"/>
    </row>
    <row r="147" spans="4:8" x14ac:dyDescent="0.25">
      <c r="D147" s="33"/>
      <c r="E147" s="33"/>
      <c r="F147" s="33"/>
      <c r="G147" s="33"/>
      <c r="H147" s="33"/>
    </row>
    <row r="148" spans="4:8" x14ac:dyDescent="0.25">
      <c r="D148" s="33"/>
      <c r="E148" s="33"/>
      <c r="F148" s="33"/>
      <c r="G148" s="33"/>
      <c r="H148" s="33"/>
    </row>
    <row r="149" spans="4:8" x14ac:dyDescent="0.25">
      <c r="D149" s="33"/>
      <c r="E149" s="33"/>
      <c r="F149" s="33"/>
      <c r="G149" s="33"/>
      <c r="H149" s="33"/>
    </row>
    <row r="150" spans="4:8" x14ac:dyDescent="0.25">
      <c r="D150" s="33"/>
      <c r="E150" s="33"/>
      <c r="F150" s="33"/>
      <c r="G150" s="33"/>
      <c r="H150" s="33"/>
    </row>
    <row r="151" spans="4:8" x14ac:dyDescent="0.25">
      <c r="D151" s="33"/>
      <c r="E151" s="33"/>
      <c r="F151" s="33"/>
      <c r="G151" s="33"/>
      <c r="H151" s="33"/>
    </row>
    <row r="152" spans="4:8" x14ac:dyDescent="0.25">
      <c r="D152" s="33"/>
      <c r="E152" s="33"/>
      <c r="F152" s="33"/>
      <c r="G152" s="33"/>
      <c r="H152" s="33"/>
    </row>
    <row r="153" spans="4:8" x14ac:dyDescent="0.25">
      <c r="D153" s="33"/>
      <c r="E153" s="33"/>
      <c r="F153" s="33"/>
      <c r="G153" s="33"/>
      <c r="H153" s="33"/>
    </row>
    <row r="154" spans="4:8" x14ac:dyDescent="0.25">
      <c r="D154" s="33"/>
      <c r="E154" s="33"/>
      <c r="F154" s="33"/>
      <c r="G154" s="33"/>
      <c r="H154" s="33"/>
    </row>
    <row r="155" spans="4:8" x14ac:dyDescent="0.25">
      <c r="D155" s="33"/>
      <c r="E155" s="33"/>
      <c r="F155" s="33"/>
      <c r="G155" s="33"/>
      <c r="H155" s="33"/>
    </row>
  </sheetData>
  <sheetProtection algorithmName="SHA-512" hashValue="6R4iMXLaj3l8EC8Db3SWzWLZu6i1pkKJkH9Ub4lk0TIDiqpLEXy166NMKZX7BMaSCHkhYowieioz8BQgQXg96g==" saltValue="Cm01wd6XL1q2BybsFtmdjg==" spinCount="100000" sheet="1" objects="1" scenarios="1"/>
  <conditionalFormatting sqref="E11:E17">
    <cfRule type="expression" dxfId="2" priority="3">
      <formula>$D$6="Basic formula for Concrete-encased Rod Electrode"</formula>
    </cfRule>
  </conditionalFormatting>
  <conditionalFormatting sqref="E13:E17">
    <cfRule type="expression" dxfId="1" priority="2">
      <formula>$D$6="Case where the ground is a dual nature medium"</formula>
    </cfRule>
  </conditionalFormatting>
  <conditionalFormatting sqref="E30:E31">
    <cfRule type="expression" dxfId="0" priority="1">
      <formula>$D$24="Sunde's equation for electrode"</formula>
    </cfRule>
  </conditionalFormatting>
  <dataValidations count="3">
    <dataValidation type="list" allowBlank="1" showInputMessage="1" showErrorMessage="1" sqref="D6" xr:uid="{00000000-0002-0000-0700-000000000000}">
      <formula1>Concrete</formula1>
    </dataValidation>
    <dataValidation type="list" allowBlank="1" showInputMessage="1" showErrorMessage="1" sqref="D24" xr:uid="{00000000-0002-0000-0700-000001000000}">
      <formula1>Turbine</formula1>
    </dataValidation>
    <dataValidation type="list" allowBlank="1" showInputMessage="1" showErrorMessage="1" sqref="D81" xr:uid="{00000000-0002-0000-0700-000002000000}">
      <formula1>Gomez</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65</vt:i4>
      </vt:variant>
    </vt:vector>
  </HeadingPairs>
  <TitlesOfParts>
    <vt:vector size="76" baseType="lpstr">
      <vt:lpstr>Published Papers (2)</vt:lpstr>
      <vt:lpstr>Procedure FlowChart</vt:lpstr>
      <vt:lpstr>BS-7430 Resistance</vt:lpstr>
      <vt:lpstr>BS-7430 Conductor Selection</vt:lpstr>
      <vt:lpstr>IEEE Green Book</vt:lpstr>
      <vt:lpstr>Substation Grounding</vt:lpstr>
      <vt:lpstr>IEC 60364</vt:lpstr>
      <vt:lpstr>Common Methods</vt:lpstr>
      <vt:lpstr>Other Methods</vt:lpstr>
      <vt:lpstr>illustrations</vt:lpstr>
      <vt:lpstr>Worksheeet</vt:lpstr>
      <vt:lpstr>A</vt:lpstr>
      <vt:lpstr>Aluminium</vt:lpstr>
      <vt:lpstr>B</vt:lpstr>
      <vt:lpstr>Bare</vt:lpstr>
      <vt:lpstr>BS</vt:lpstr>
      <vt:lpstr>Cableinsul</vt:lpstr>
      <vt:lpstr>Case</vt:lpstr>
      <vt:lpstr>co</vt:lpstr>
      <vt:lpstr>Concrete</vt:lpstr>
      <vt:lpstr>Condition</vt:lpstr>
      <vt:lpstr>Conditions</vt:lpstr>
      <vt:lpstr>Configuration</vt:lpstr>
      <vt:lpstr>Connection</vt:lpstr>
      <vt:lpstr>cop</vt:lpstr>
      <vt:lpstr>Copper</vt:lpstr>
      <vt:lpstr>Copper.</vt:lpstr>
      <vt:lpstr>Copper.Sheathed</vt:lpstr>
      <vt:lpstr>Covering</vt:lpstr>
      <vt:lpstr>Dia</vt:lpstr>
      <vt:lpstr>diaaa</vt:lpstr>
      <vt:lpstr>E</vt:lpstr>
      <vt:lpstr>Gomez</vt:lpstr>
      <vt:lpstr>Hot.dip.galvanized.or.Stainless</vt:lpstr>
      <vt:lpstr>Insulation</vt:lpstr>
      <vt:lpstr>Joint</vt:lpstr>
      <vt:lpstr>l</vt:lpstr>
      <vt:lpstr>M</vt:lpstr>
      <vt:lpstr>Ma</vt:lpstr>
      <vt:lpstr>Mat</vt:lpstr>
      <vt:lpstr>Mate</vt:lpstr>
      <vt:lpstr>Material</vt:lpstr>
      <vt:lpstr>Max_T</vt:lpstr>
      <vt:lpstr>Mech</vt:lpstr>
      <vt:lpstr>n</vt:lpstr>
      <vt:lpstr>Num</vt:lpstr>
      <vt:lpstr>Prot</vt:lpstr>
      <vt:lpstr>re</vt:lpstr>
      <vt:lpstr>reeee</vt:lpstr>
      <vt:lpstr>res</vt:lpstr>
      <vt:lpstr>resi</vt:lpstr>
      <vt:lpstr>ress</vt:lpstr>
      <vt:lpstr>resss</vt:lpstr>
      <vt:lpstr>rod</vt:lpstr>
      <vt:lpstr>s</vt:lpstr>
      <vt:lpstr>Similar</vt:lpstr>
      <vt:lpstr>Steel</vt:lpstr>
      <vt:lpstr>Surface</vt:lpstr>
      <vt:lpstr>T</vt:lpstr>
      <vt:lpstr>Te</vt:lpstr>
      <vt:lpstr>Tee</vt:lpstr>
      <vt:lpstr>Teee</vt:lpstr>
      <vt:lpstr>Tin.coated</vt:lpstr>
      <vt:lpstr>Turbine</vt:lpstr>
      <vt:lpstr>Tw</vt:lpstr>
      <vt:lpstr>Tww</vt:lpstr>
      <vt:lpstr>Twww</vt:lpstr>
      <vt:lpstr>Twwww</vt:lpstr>
      <vt:lpstr>Twwwww</vt:lpstr>
      <vt:lpstr>Ty</vt:lpstr>
      <vt:lpstr>Typ</vt:lpstr>
      <vt:lpstr>Type</vt:lpstr>
      <vt:lpstr>TypeIEEE</vt:lpstr>
      <vt:lpstr>With.electrodeposited.copper.coating</vt:lpstr>
      <vt:lpstr>yes</vt:lpstr>
      <vt:lpstr>Zinc.coated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Yousef Mohammed Lutf Mohammed Al-Shawesh</dc:creator>
  <cp:lastModifiedBy>Yousef Mohammed Lutf Mohammed Al-Shawesh</cp:lastModifiedBy>
  <cp:lastPrinted>2018-02-01T04:29:36Z</cp:lastPrinted>
  <dcterms:created xsi:type="dcterms:W3CDTF">2017-10-16T13:45:28Z</dcterms:created>
  <dcterms:modified xsi:type="dcterms:W3CDTF">2018-02-22T01:39:40Z</dcterms:modified>
</cp:coreProperties>
</file>